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715" windowHeight="7740"/>
  </bookViews>
  <sheets>
    <sheet name="Übersicht" sheetId="9" r:id="rId1"/>
    <sheet name="Technische Aufgaben" sheetId="3" r:id="rId2"/>
    <sheet name="Managementaufgaben" sheetId="2" r:id="rId3"/>
  </sheets>
  <calcPr calcId="145621"/>
</workbook>
</file>

<file path=xl/calcChain.xml><?xml version="1.0" encoding="utf-8"?>
<calcChain xmlns="http://schemas.openxmlformats.org/spreadsheetml/2006/main">
  <c r="H30" i="3" l="1"/>
  <c r="M25" i="3" l="1"/>
  <c r="M23" i="3"/>
  <c r="M21" i="3"/>
  <c r="M19" i="3"/>
  <c r="M17" i="3"/>
  <c r="M16" i="3"/>
  <c r="M4" i="3"/>
  <c r="M5" i="3"/>
  <c r="M6" i="3"/>
  <c r="M7" i="3"/>
  <c r="M8" i="3"/>
  <c r="M9" i="3"/>
  <c r="M10" i="3"/>
  <c r="M11" i="3"/>
  <c r="M12" i="3"/>
  <c r="M13" i="3"/>
  <c r="M3" i="3"/>
  <c r="F4" i="2"/>
  <c r="H17" i="9"/>
  <c r="H8" i="9"/>
  <c r="M14" i="3" l="1"/>
  <c r="F5" i="2" l="1"/>
  <c r="F6" i="2"/>
  <c r="F11" i="2"/>
  <c r="F14" i="2"/>
  <c r="F15" i="2"/>
  <c r="F17" i="2"/>
  <c r="F19" i="2"/>
  <c r="F20" i="2"/>
  <c r="F24" i="2"/>
  <c r="F26" i="2"/>
  <c r="F29" i="2"/>
  <c r="F31" i="2"/>
  <c r="F35" i="2"/>
  <c r="F38" i="2"/>
  <c r="F39" i="2"/>
  <c r="F40" i="2"/>
  <c r="F42" i="2"/>
  <c r="F43" i="2"/>
  <c r="F45" i="2"/>
  <c r="F46" i="2"/>
  <c r="F47" i="2"/>
  <c r="F50" i="2"/>
  <c r="F3" i="2"/>
  <c r="H3" i="2" s="1"/>
  <c r="D3" i="2" s="1"/>
  <c r="K6" i="2"/>
  <c r="K5" i="2"/>
  <c r="C44" i="2" s="1"/>
  <c r="K2" i="2"/>
  <c r="K3" i="2"/>
  <c r="C30" i="2"/>
  <c r="C33" i="2" l="1"/>
  <c r="F33" i="2" s="1"/>
  <c r="C48" i="2"/>
  <c r="C37" i="2"/>
  <c r="F37" i="2" s="1"/>
  <c r="C34" i="2"/>
  <c r="C10" i="2"/>
  <c r="F44" i="2"/>
  <c r="F30" i="2"/>
  <c r="C32" i="2"/>
  <c r="C36" i="2"/>
  <c r="C41" i="2"/>
  <c r="K8" i="2"/>
  <c r="C18" i="2"/>
  <c r="C9" i="2"/>
  <c r="F18" i="3"/>
  <c r="D24" i="3"/>
  <c r="D2" i="3"/>
  <c r="D17" i="3"/>
  <c r="D16" i="3"/>
  <c r="D15" i="3"/>
  <c r="D14" i="3"/>
  <c r="D13" i="3"/>
  <c r="D11" i="3"/>
  <c r="D10" i="3"/>
  <c r="D3" i="3"/>
  <c r="F24" i="3"/>
  <c r="F9" i="3"/>
  <c r="F8" i="3"/>
  <c r="F7" i="3"/>
  <c r="F5" i="3"/>
  <c r="F4" i="3"/>
  <c r="O4" i="3"/>
  <c r="E27" i="3"/>
  <c r="E26" i="3"/>
  <c r="E25" i="3"/>
  <c r="E24" i="3"/>
  <c r="E23" i="3"/>
  <c r="E22" i="3"/>
  <c r="E21" i="3"/>
  <c r="E20" i="3"/>
  <c r="E19" i="3"/>
  <c r="E18" i="3"/>
  <c r="E2" i="3"/>
  <c r="E17" i="3"/>
  <c r="E16" i="3"/>
  <c r="E15" i="3"/>
  <c r="E14" i="3"/>
  <c r="E13" i="3"/>
  <c r="E12" i="3"/>
  <c r="C11" i="3"/>
  <c r="E11" i="3" s="1"/>
  <c r="C10" i="3"/>
  <c r="E10" i="3" s="1"/>
  <c r="E9" i="3"/>
  <c r="E8" i="3"/>
  <c r="E7" i="3"/>
  <c r="E6" i="3"/>
  <c r="E5" i="3"/>
  <c r="E3" i="3"/>
  <c r="E4" i="3"/>
  <c r="H10" i="3" l="1"/>
  <c r="F34" i="2"/>
  <c r="F36" i="2"/>
  <c r="F9" i="2"/>
  <c r="F41" i="2"/>
  <c r="F32" i="2"/>
  <c r="F18" i="2"/>
  <c r="C49" i="2"/>
  <c r="F48" i="2"/>
  <c r="D9" i="3"/>
  <c r="H9" i="3" s="1"/>
  <c r="K4" i="2"/>
  <c r="H2" i="3"/>
  <c r="D12" i="3"/>
  <c r="H12" i="3" s="1"/>
  <c r="H11" i="3"/>
  <c r="H13" i="3"/>
  <c r="H16" i="3"/>
  <c r="H14" i="3"/>
  <c r="H15" i="3"/>
  <c r="H24" i="3"/>
  <c r="F49" i="2" l="1"/>
  <c r="C16" i="2"/>
  <c r="C22" i="2"/>
  <c r="C21" i="2"/>
  <c r="AE4" i="3"/>
  <c r="H17" i="3"/>
  <c r="H3" i="3"/>
  <c r="W4" i="3"/>
  <c r="W5" i="3"/>
  <c r="W7" i="3"/>
  <c r="W8" i="3"/>
  <c r="W9" i="3"/>
  <c r="W11" i="3"/>
  <c r="W10" i="3"/>
  <c r="W13" i="3"/>
  <c r="W12" i="3"/>
  <c r="W6" i="3"/>
  <c r="U4" i="3"/>
  <c r="U5" i="3"/>
  <c r="U7" i="3"/>
  <c r="U8" i="3"/>
  <c r="U9" i="3"/>
  <c r="U11" i="3"/>
  <c r="U10" i="3"/>
  <c r="U13" i="3"/>
  <c r="U12" i="3"/>
  <c r="S4" i="3"/>
  <c r="S5" i="3"/>
  <c r="S7" i="3"/>
  <c r="S8" i="3"/>
  <c r="S9" i="3"/>
  <c r="S11" i="3"/>
  <c r="S10" i="3"/>
  <c r="S13" i="3"/>
  <c r="S12" i="3"/>
  <c r="U6" i="3"/>
  <c r="S6" i="3"/>
  <c r="Q4" i="3"/>
  <c r="Q5" i="3"/>
  <c r="Q7" i="3"/>
  <c r="Q8" i="3"/>
  <c r="Q9" i="3"/>
  <c r="Q11" i="3"/>
  <c r="Q10" i="3"/>
  <c r="Q13" i="3"/>
  <c r="Q12" i="3"/>
  <c r="Q6" i="3"/>
  <c r="AE5" i="3"/>
  <c r="AE7" i="3"/>
  <c r="AE8" i="3"/>
  <c r="AE9" i="3"/>
  <c r="AE11" i="3"/>
  <c r="AE10" i="3"/>
  <c r="AE13" i="3"/>
  <c r="AE12" i="3"/>
  <c r="AE6" i="3"/>
  <c r="AC4" i="3"/>
  <c r="AC5" i="3"/>
  <c r="AC7" i="3"/>
  <c r="AC8" i="3"/>
  <c r="AC9" i="3"/>
  <c r="AC11" i="3"/>
  <c r="AC10" i="3"/>
  <c r="AC13" i="3"/>
  <c r="AC12" i="3"/>
  <c r="AC6" i="3"/>
  <c r="AA4" i="3"/>
  <c r="AA5" i="3"/>
  <c r="AA7" i="3"/>
  <c r="AA8" i="3"/>
  <c r="AA9" i="3"/>
  <c r="AA11" i="3"/>
  <c r="AA10" i="3"/>
  <c r="AA13" i="3"/>
  <c r="AA12" i="3"/>
  <c r="AA6" i="3"/>
  <c r="Y4" i="3"/>
  <c r="Y5" i="3"/>
  <c r="Y7" i="3"/>
  <c r="Y8" i="3"/>
  <c r="Y9" i="3"/>
  <c r="Y11" i="3"/>
  <c r="Y10" i="3"/>
  <c r="Y13" i="3"/>
  <c r="Y12" i="3"/>
  <c r="Y6" i="3"/>
  <c r="O5" i="3"/>
  <c r="O7" i="3"/>
  <c r="O8" i="3"/>
  <c r="O9" i="3"/>
  <c r="O11" i="3"/>
  <c r="O10" i="3"/>
  <c r="O13" i="3"/>
  <c r="O12" i="3"/>
  <c r="O6" i="3"/>
  <c r="F21" i="2" l="1"/>
  <c r="F22" i="2"/>
  <c r="F16" i="2"/>
  <c r="W14" i="3"/>
  <c r="O14" i="3"/>
  <c r="AA14" i="3"/>
  <c r="D18" i="3" s="1"/>
  <c r="H18" i="3" s="1"/>
  <c r="S14" i="3"/>
  <c r="Q14" i="3"/>
  <c r="U14" i="3"/>
  <c r="D21" i="3" s="1"/>
  <c r="H21" i="3" s="1"/>
  <c r="Y14" i="3"/>
  <c r="D27" i="3" s="1"/>
  <c r="H27" i="3" s="1"/>
  <c r="AC14" i="3"/>
  <c r="D7" i="3" s="1"/>
  <c r="H7" i="3" s="1"/>
  <c r="AE14" i="3"/>
  <c r="D8" i="3" s="1"/>
  <c r="H8" i="3" s="1"/>
  <c r="I23" i="3"/>
  <c r="J23" i="3" s="1"/>
  <c r="I24" i="3"/>
  <c r="J24" i="3" s="1"/>
  <c r="H4" i="2"/>
  <c r="D4" i="2" s="1"/>
  <c r="H14" i="2"/>
  <c r="D14" i="2" s="1"/>
  <c r="H15" i="2"/>
  <c r="D15" i="2" s="1"/>
  <c r="H20" i="2"/>
  <c r="D20" i="2" s="1"/>
  <c r="H26" i="2"/>
  <c r="D26" i="2" s="1"/>
  <c r="H31" i="2"/>
  <c r="D31" i="2" s="1"/>
  <c r="H39" i="2"/>
  <c r="D39" i="2" s="1"/>
  <c r="H40" i="2"/>
  <c r="D40" i="2" s="1"/>
  <c r="H42" i="2"/>
  <c r="D42" i="2" s="1"/>
  <c r="H45" i="2"/>
  <c r="D45" i="2" s="1"/>
  <c r="H46" i="2"/>
  <c r="D46" i="2" s="1"/>
  <c r="F10" i="2" l="1"/>
  <c r="D23" i="3"/>
  <c r="H23" i="3" s="1"/>
  <c r="D22" i="3"/>
  <c r="H22" i="3" s="1"/>
  <c r="D6" i="3"/>
  <c r="H6" i="3" s="1"/>
  <c r="D5" i="3"/>
  <c r="H5" i="3" s="1"/>
  <c r="D4" i="3"/>
  <c r="D25" i="3"/>
  <c r="H25" i="3" s="1"/>
  <c r="D26" i="3"/>
  <c r="H26" i="3" s="1"/>
  <c r="D19" i="3"/>
  <c r="H19" i="3" s="1"/>
  <c r="D20" i="3"/>
  <c r="H20" i="3" s="1"/>
  <c r="I12" i="3" s="1"/>
  <c r="J12" i="3" s="1"/>
  <c r="I17" i="3"/>
  <c r="J17" i="3" s="1"/>
  <c r="I2" i="3"/>
  <c r="J2" i="3" s="1"/>
  <c r="I13" i="3"/>
  <c r="J13" i="3" s="1"/>
  <c r="I19" i="3"/>
  <c r="J19" i="3" s="1"/>
  <c r="I29" i="3"/>
  <c r="J29" i="3" s="1"/>
  <c r="I8" i="3"/>
  <c r="J8" i="3" s="1"/>
  <c r="I11" i="3"/>
  <c r="J11" i="3" s="1"/>
  <c r="I6" i="3"/>
  <c r="J6" i="3" s="1"/>
  <c r="I10" i="3"/>
  <c r="J10" i="3" s="1"/>
  <c r="I27" i="3"/>
  <c r="J27" i="3" s="1"/>
  <c r="I15" i="3"/>
  <c r="J15" i="3" s="1"/>
  <c r="I14" i="3"/>
  <c r="J14" i="3" s="1"/>
  <c r="K10" i="2"/>
  <c r="C28" i="2" s="1"/>
  <c r="K9" i="2"/>
  <c r="C27" i="2" s="1"/>
  <c r="C25" i="2"/>
  <c r="C13" i="2"/>
  <c r="C12" i="2"/>
  <c r="C8" i="2"/>
  <c r="C7" i="2"/>
  <c r="F12" i="2" l="1"/>
  <c r="H12" i="2" s="1"/>
  <c r="D12" i="2" s="1"/>
  <c r="F27" i="2"/>
  <c r="F13" i="2"/>
  <c r="F28" i="2"/>
  <c r="H28" i="2" s="1"/>
  <c r="D28" i="2" s="1"/>
  <c r="F7" i="2"/>
  <c r="H7" i="2" s="1"/>
  <c r="D7" i="2" s="1"/>
  <c r="F8" i="2"/>
  <c r="H8" i="2" s="1"/>
  <c r="D8" i="2" s="1"/>
  <c r="F25" i="2"/>
  <c r="C23" i="2"/>
  <c r="H30" i="2"/>
  <c r="D30" i="2" s="1"/>
  <c r="I28" i="3"/>
  <c r="J28" i="3" s="1"/>
  <c r="H4" i="3"/>
  <c r="I16" i="3"/>
  <c r="J16" i="3" s="1"/>
  <c r="I25" i="3"/>
  <c r="J25" i="3" s="1"/>
  <c r="H18" i="2"/>
  <c r="D18" i="2" s="1"/>
  <c r="H41" i="2"/>
  <c r="D41" i="2" s="1"/>
  <c r="H44" i="2"/>
  <c r="D44" i="2" s="1"/>
  <c r="H16" i="2"/>
  <c r="D16" i="2" s="1"/>
  <c r="H21" i="2"/>
  <c r="D21" i="2" s="1"/>
  <c r="H22" i="2"/>
  <c r="D22" i="2" s="1"/>
  <c r="H49" i="2"/>
  <c r="D49" i="2" s="1"/>
  <c r="H33" i="2"/>
  <c r="D33" i="2" s="1"/>
  <c r="H32" i="2"/>
  <c r="D32" i="2" s="1"/>
  <c r="H34" i="2"/>
  <c r="D34" i="2" s="1"/>
  <c r="H10" i="2"/>
  <c r="D10" i="2" s="1"/>
  <c r="H36" i="2"/>
  <c r="D36" i="2" s="1"/>
  <c r="H9" i="2"/>
  <c r="D9" i="2" s="1"/>
  <c r="H37" i="2"/>
  <c r="D37" i="2" s="1"/>
  <c r="H32" i="3" l="1"/>
  <c r="H7" i="9"/>
  <c r="H9" i="9" s="1"/>
  <c r="H25" i="2"/>
  <c r="D25" i="2" s="1"/>
  <c r="H13" i="2"/>
  <c r="F23" i="2"/>
  <c r="I22" i="3"/>
  <c r="J22" i="3" s="1"/>
  <c r="I3" i="3"/>
  <c r="J3" i="3" s="1"/>
  <c r="I4" i="3"/>
  <c r="J4" i="3" s="1"/>
  <c r="I5" i="3"/>
  <c r="J5" i="3" s="1"/>
  <c r="I26" i="3"/>
  <c r="J26" i="3" s="1"/>
  <c r="I7" i="3"/>
  <c r="J7" i="3" s="1"/>
  <c r="I9" i="3"/>
  <c r="J9" i="3" s="1"/>
  <c r="H27" i="2"/>
  <c r="D27" i="2" s="1"/>
  <c r="H48" i="2"/>
  <c r="D48" i="2" s="1"/>
  <c r="D13" i="2" l="1"/>
  <c r="H23" i="2"/>
  <c r="D23" i="2" s="1"/>
  <c r="J32" i="3"/>
  <c r="F51" i="2"/>
  <c r="H50" i="2" l="1"/>
  <c r="H35" i="3" s="1"/>
  <c r="H16" i="9" s="1"/>
  <c r="H18" i="9" s="1"/>
  <c r="H37" i="3" l="1"/>
  <c r="H40" i="3" s="1"/>
  <c r="H41" i="3" s="1"/>
</calcChain>
</file>

<file path=xl/sharedStrings.xml><?xml version="1.0" encoding="utf-8"?>
<sst xmlns="http://schemas.openxmlformats.org/spreadsheetml/2006/main" count="227" uniqueCount="166">
  <si>
    <t>Fallzahl</t>
  </si>
  <si>
    <t>Einsatzbericht</t>
  </si>
  <si>
    <t>Stunden</t>
  </si>
  <si>
    <t>Kommunalrecht</t>
  </si>
  <si>
    <t>Aufstellung Satzungen</t>
  </si>
  <si>
    <t>Zusammenarbeit Gemeinderat und kommunale Gremien</t>
  </si>
  <si>
    <t>Aktenverwaltung und Antragsbearbeitung</t>
  </si>
  <si>
    <t>Personal</t>
  </si>
  <si>
    <t>An/Abmeldung Feuerwehrrente</t>
  </si>
  <si>
    <t>Anmeldungen Lehrgänge, Dienstreiseauftrag</t>
  </si>
  <si>
    <t>Freistellung, Erstattung, Verdienstausfall</t>
  </si>
  <si>
    <t>Atemschutznachweis</t>
  </si>
  <si>
    <t>Berichtswesen</t>
  </si>
  <si>
    <t>Gebührenerhebung</t>
  </si>
  <si>
    <t>Monatsstatistik</t>
  </si>
  <si>
    <t>Jahresstatistik</t>
  </si>
  <si>
    <t>Beantragung Fördermittel</t>
  </si>
  <si>
    <t>Betriebswirtschaft</t>
  </si>
  <si>
    <t>Errichtung baulicher Anlagen</t>
  </si>
  <si>
    <t>Beschaffung Fahrzeuge und Ausrüstung</t>
  </si>
  <si>
    <t>Beschaffungsplan</t>
  </si>
  <si>
    <t>Anforderungen Technik</t>
  </si>
  <si>
    <t>Vergabevorschriften</t>
  </si>
  <si>
    <t>Errichtung Löschwasserentnahmestellen</t>
  </si>
  <si>
    <t>Brandschutzrecht</t>
  </si>
  <si>
    <t>Bedarfs- und Entwicklungsplanung: Risikoklassen</t>
  </si>
  <si>
    <t>Bedarfs- und Entwicklungsplanung: Löschwasserversorgung</t>
  </si>
  <si>
    <t>Alarm- und Einsatzpläne aufstellen/fortschreiben</t>
  </si>
  <si>
    <t>Brandsicherheitswachdienst</t>
  </si>
  <si>
    <t>Arbeits- und Gesundheitsschutz</t>
  </si>
  <si>
    <t>Gefährdungsbeurteilung</t>
  </si>
  <si>
    <t>Unterweisung</t>
  </si>
  <si>
    <t>Arbeitsmedizinische Untersuchung</t>
  </si>
  <si>
    <t>Unfallberichte</t>
  </si>
  <si>
    <t>Personalrecht</t>
  </si>
  <si>
    <t>Bestellung Führungskräfte</t>
  </si>
  <si>
    <t>Beförderungen, Ehrungen</t>
  </si>
  <si>
    <t>Organisation und Ausbildung</t>
  </si>
  <si>
    <t>Grundlehrgang</t>
  </si>
  <si>
    <t>Standortbezogene Fortbildung</t>
  </si>
  <si>
    <t>Organisation der Brandschutz- und Sicherheitserziehung</t>
  </si>
  <si>
    <t>Vorbereitung, Durchführung, Auswertung von Übungen</t>
  </si>
  <si>
    <t>Kinder- und Jugendarbeit</t>
  </si>
  <si>
    <t>Durchführung Brandschutz- und Sicherheitserziehung</t>
  </si>
  <si>
    <t>Jugendfeuerwehrarbeit</t>
  </si>
  <si>
    <t>Fördermöglichkeiten</t>
  </si>
  <si>
    <t>Öffentlichkeitsarbeit</t>
  </si>
  <si>
    <t>Einsatzbezogene Öffentlichkeitsarbeit</t>
  </si>
  <si>
    <t>Abstimmung Öffentlichkeitsarbeit auf Gemeindeebene</t>
  </si>
  <si>
    <t>Einsätze</t>
  </si>
  <si>
    <t>Fahrzeuge</t>
  </si>
  <si>
    <t>Wasserentnahmestellen</t>
  </si>
  <si>
    <t>Einwohner</t>
  </si>
  <si>
    <t>Objekte</t>
  </si>
  <si>
    <t>BSWD</t>
  </si>
  <si>
    <t>Annahme</t>
  </si>
  <si>
    <t>Eine relevante Sitzung alle 2 Monate</t>
  </si>
  <si>
    <t>10 % der Feuerwehrangehörigen in einem Jahr betroffen</t>
  </si>
  <si>
    <t>durchschnittlich nimmt jeder Fw-Angehörige an einm Lehrgang pro Jahr teil</t>
  </si>
  <si>
    <t>die Hälfte der Fw-Angehörigen ist Atemschutzgeräteträger</t>
  </si>
  <si>
    <t>für 50 % der Einsätze relevant</t>
  </si>
  <si>
    <t>Standorte</t>
  </si>
  <si>
    <t>Je Standort alle 40 Jahre</t>
  </si>
  <si>
    <t>einmal jährlich</t>
  </si>
  <si>
    <t>einmal monatlich</t>
  </si>
  <si>
    <t>alle 5 Jahre</t>
  </si>
  <si>
    <t>je Brandsicherheitswache</t>
  </si>
  <si>
    <t>1 % der Fw-Anghörigen verletzt sich bei 5% der Einsätze</t>
  </si>
  <si>
    <t>relevant für 10 % der Fw-Angehörigen, alle 10 Jahre</t>
  </si>
  <si>
    <t>zweimal jährlich</t>
  </si>
  <si>
    <t>Annamhe</t>
  </si>
  <si>
    <t>Angehörige Einsatzabteilung</t>
  </si>
  <si>
    <t>Verwaltung</t>
  </si>
  <si>
    <t>HLF</t>
  </si>
  <si>
    <t>RW</t>
  </si>
  <si>
    <t>TLF</t>
  </si>
  <si>
    <t>GW-G</t>
  </si>
  <si>
    <t>TSF-W</t>
  </si>
  <si>
    <t>Einsatznachbereitung</t>
  </si>
  <si>
    <t>Novelierung der Satzungen alle 5 Jahre</t>
  </si>
  <si>
    <t>GW-AS</t>
  </si>
  <si>
    <t>GW-Mess</t>
  </si>
  <si>
    <t>Atemschutzgeräte</t>
  </si>
  <si>
    <t>Rüstsatz</t>
  </si>
  <si>
    <t>Hebekissen</t>
  </si>
  <si>
    <t>Rohrdichtkissen</t>
  </si>
  <si>
    <t>Sprungpolster</t>
  </si>
  <si>
    <t>Tragbare Feuerlöscher</t>
  </si>
  <si>
    <t>Gaswarngeräte</t>
  </si>
  <si>
    <t>CSA</t>
  </si>
  <si>
    <t>Druckschläuche</t>
  </si>
  <si>
    <t>Flaschenzüge</t>
  </si>
  <si>
    <t>Absturzsicherung</t>
  </si>
  <si>
    <t>Absturzsicherungssets</t>
  </si>
  <si>
    <t>DLAK</t>
  </si>
  <si>
    <t>LF</t>
  </si>
  <si>
    <t>GW-L2 Wasser</t>
  </si>
  <si>
    <t>Prüfungsart</t>
  </si>
  <si>
    <t>Kfz-Service</t>
  </si>
  <si>
    <t>Gerät</t>
  </si>
  <si>
    <t>Jahresprüfung</t>
  </si>
  <si>
    <t>Sicherheitshauptprüfung</t>
  </si>
  <si>
    <t>Monatsüberprüfung</t>
  </si>
  <si>
    <t>Hebekissensatz</t>
  </si>
  <si>
    <t>Rohrdichtkissensatz</t>
  </si>
  <si>
    <t>Kleinfahrzeuge</t>
  </si>
  <si>
    <t>Rüst- und Gerätewagen</t>
  </si>
  <si>
    <t>TSF-W, LF</t>
  </si>
  <si>
    <t>Großfahrzeug</t>
  </si>
  <si>
    <t>Kleinfahrzeug</t>
  </si>
  <si>
    <t>Gasmessgeräte</t>
  </si>
  <si>
    <t>Lungenautomat, Pressluftatmer</t>
  </si>
  <si>
    <t>CSA Form 3</t>
  </si>
  <si>
    <t xml:space="preserve">Druckschläuche </t>
  </si>
  <si>
    <t>Atemschutzgeräte/Atemanschlüsse</t>
  </si>
  <si>
    <t>Reinigung</t>
  </si>
  <si>
    <t>Halbjährliche Geräteprüfung</t>
  </si>
  <si>
    <t>Einsatzfahrzeug</t>
  </si>
  <si>
    <t>DLAK, TLF</t>
  </si>
  <si>
    <t>Schutzbekleidung</t>
  </si>
  <si>
    <t>Je Fahrzeug alle 15 Jahre</t>
  </si>
  <si>
    <t>je Entnahmestelle alle 20 Jahre</t>
  </si>
  <si>
    <t>Je Fahrzeug alle 15 Jahre, je Standort alle 40 Jahre</t>
  </si>
  <si>
    <t>alle 5 Jahre 5 Szenarien + je Objekt</t>
  </si>
  <si>
    <t>10 Tätigkeiten, Novellierung alle 5 Jahre</t>
  </si>
  <si>
    <t>Hälfte der Fw-Angehörigen alle 3 Jahre</t>
  </si>
  <si>
    <t>relevant für 1/3 der Einsätze</t>
  </si>
  <si>
    <t>bei 1/3 der Einsätze für1/3 der Fw-Angehörigen relevant</t>
  </si>
  <si>
    <t>je Fw-Angehörigen alle 7,5 Jahre</t>
  </si>
  <si>
    <t>10 % der EW sind Kinder, auf 10 verschiedene Altersstufen, 18,1 Kinder je Klasse, 3 mal (KiTa, GS, S)</t>
  </si>
  <si>
    <t>JAM</t>
  </si>
  <si>
    <t>SB</t>
  </si>
  <si>
    <t>Prüfungsintervall in Jahren</t>
  </si>
  <si>
    <t>Summe JAM in Minuten</t>
  </si>
  <si>
    <t>NAZ in Minuten</t>
  </si>
  <si>
    <t>JAM Vw</t>
  </si>
  <si>
    <t>SB gesamt</t>
  </si>
  <si>
    <t>Grundüberholung</t>
  </si>
  <si>
    <t>Vierteljährliche Prüfung</t>
  </si>
  <si>
    <t>Fünfjahresprüfung</t>
  </si>
  <si>
    <t>Druckprüfung</t>
  </si>
  <si>
    <t>Dreijahresprüfung</t>
  </si>
  <si>
    <t>Zweiahresprüfung</t>
  </si>
  <si>
    <t>Einsatzkräfte</t>
  </si>
  <si>
    <t>Item</t>
  </si>
  <si>
    <t>Allgemeine Daten</t>
  </si>
  <si>
    <t>Managementaufgaben</t>
  </si>
  <si>
    <t>Technische Aufgaben</t>
  </si>
  <si>
    <t>Hier sehen Sie den errechneten Stellenbedarf für Ihre Gemeinde:</t>
  </si>
  <si>
    <t>Bitte geben Sie in die grauen Felder die Daten Ihrer Gemeinde ein:</t>
  </si>
  <si>
    <t>NAZ</t>
  </si>
  <si>
    <t>Stellenbedarf</t>
  </si>
  <si>
    <t>mBZ in Minuten</t>
  </si>
  <si>
    <t>Annahme eine je zehn Einwohner</t>
  </si>
  <si>
    <t>Annahme eins je 500 Einwohner</t>
  </si>
  <si>
    <t>Annahme eine je 500 Einwohner</t>
  </si>
  <si>
    <t>Allgemeine Annahmen</t>
  </si>
  <si>
    <t>JAM  in Minuten</t>
  </si>
  <si>
    <t>Anzahl</t>
  </si>
  <si>
    <t>fixe Fallzahlen</t>
  </si>
  <si>
    <t>dynamische Fallzahlen</t>
  </si>
  <si>
    <t>Fahrzeugnormbeladungen</t>
  </si>
  <si>
    <t>JAM in Minuten</t>
  </si>
  <si>
    <t>Feuerwehrstandorte</t>
  </si>
  <si>
    <t>PSNV-E</t>
  </si>
  <si>
    <t>Abseil-Rettungsgeräte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</si>
</sst>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&quot; min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3" xfId="0" applyFont="1" applyBorder="1"/>
    <xf numFmtId="0" fontId="0" fillId="0" borderId="3" xfId="0" applyFont="1" applyBorder="1"/>
    <xf numFmtId="0" fontId="3" fillId="0" borderId="3" xfId="0" applyFont="1" applyBorder="1"/>
    <xf numFmtId="2" fontId="0" fillId="0" borderId="3" xfId="0" applyNumberFormat="1" applyFont="1" applyBorder="1"/>
    <xf numFmtId="0" fontId="0" fillId="0" borderId="5" xfId="0" applyFont="1" applyBorder="1"/>
    <xf numFmtId="0" fontId="0" fillId="0" borderId="4" xfId="0" applyFont="1" applyBorder="1"/>
    <xf numFmtId="0" fontId="0" fillId="0" borderId="0" xfId="0" applyFont="1"/>
    <xf numFmtId="0" fontId="0" fillId="0" borderId="2" xfId="0" applyFont="1" applyBorder="1"/>
    <xf numFmtId="2" fontId="0" fillId="0" borderId="6" xfId="0" applyNumberFormat="1" applyFont="1" applyBorder="1"/>
    <xf numFmtId="165" fontId="0" fillId="0" borderId="3" xfId="0" applyNumberFormat="1" applyFont="1" applyBorder="1"/>
    <xf numFmtId="0" fontId="4" fillId="0" borderId="3" xfId="0" applyFont="1" applyBorder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3" fontId="0" fillId="0" borderId="1" xfId="0" applyNumberFormat="1" applyFont="1" applyBorder="1"/>
    <xf numFmtId="3" fontId="0" fillId="0" borderId="1" xfId="0" applyNumberFormat="1" applyFont="1" applyFill="1" applyBorder="1"/>
    <xf numFmtId="0" fontId="0" fillId="2" borderId="1" xfId="0" applyFont="1" applyFill="1" applyBorder="1"/>
    <xf numFmtId="0" fontId="5" fillId="0" borderId="1" xfId="0" applyFont="1" applyFill="1" applyBorder="1"/>
    <xf numFmtId="2" fontId="0" fillId="0" borderId="1" xfId="0" applyNumberFormat="1" applyFont="1" applyFill="1" applyBorder="1"/>
    <xf numFmtId="164" fontId="0" fillId="0" borderId="1" xfId="0" applyNumberFormat="1" applyFont="1" applyFill="1" applyBorder="1"/>
    <xf numFmtId="0" fontId="3" fillId="0" borderId="0" xfId="0" applyFont="1"/>
    <xf numFmtId="2" fontId="2" fillId="0" borderId="0" xfId="0" applyNumberFormat="1" applyFont="1"/>
    <xf numFmtId="0" fontId="5" fillId="0" borderId="1" xfId="0" applyFont="1" applyBorder="1"/>
    <xf numFmtId="0" fontId="5" fillId="0" borderId="0" xfId="0" applyFont="1"/>
    <xf numFmtId="0" fontId="0" fillId="0" borderId="0" xfId="0" applyFont="1" applyFill="1"/>
    <xf numFmtId="3" fontId="0" fillId="0" borderId="0" xfId="0" applyNumberFormat="1" applyFont="1"/>
    <xf numFmtId="0" fontId="2" fillId="0" borderId="0" xfId="0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4" fontId="2" fillId="0" borderId="0" xfId="0" applyNumberFormat="1" applyFont="1" applyBorder="1"/>
    <xf numFmtId="2" fontId="2" fillId="0" borderId="0" xfId="0" applyNumberFormat="1" applyFont="1" applyBorder="1"/>
    <xf numFmtId="2" fontId="0" fillId="0" borderId="0" xfId="0" applyNumberFormat="1" applyFont="1"/>
    <xf numFmtId="164" fontId="0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indent="5"/>
    </xf>
    <xf numFmtId="0" fontId="5" fillId="0" borderId="1" xfId="0" applyFont="1" applyBorder="1" applyAlignment="1">
      <alignment horizontal="left" vertical="center" indent="10"/>
    </xf>
    <xf numFmtId="1" fontId="0" fillId="0" borderId="1" xfId="0" applyNumberFormat="1" applyFont="1" applyBorder="1"/>
    <xf numFmtId="2" fontId="0" fillId="0" borderId="1" xfId="0" applyNumberFormat="1" applyFont="1" applyBorder="1"/>
    <xf numFmtId="164" fontId="0" fillId="0" borderId="1" xfId="0" applyNumberFormat="1" applyFont="1" applyBorder="1"/>
    <xf numFmtId="3" fontId="2" fillId="0" borderId="0" xfId="0" applyNumberFormat="1" applyFont="1"/>
    <xf numFmtId="0" fontId="0" fillId="2" borderId="3" xfId="0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tabSelected="1" workbookViewId="0">
      <selection activeCell="C5" sqref="C5"/>
    </sheetView>
  </sheetViews>
  <sheetFormatPr baseColWidth="10" defaultRowHeight="15" x14ac:dyDescent="0.25"/>
  <cols>
    <col min="1" max="1" width="8.85546875" style="2" customWidth="1"/>
    <col min="2" max="2" width="22.140625" style="2" customWidth="1"/>
    <col min="3" max="3" width="10" style="2" customWidth="1"/>
    <col min="4" max="4" width="11.42578125" style="2"/>
    <col min="5" max="5" width="16.42578125" style="6" customWidth="1"/>
    <col min="6" max="6" width="7.7109375" style="5" customWidth="1"/>
    <col min="7" max="7" width="15.5703125" style="2" customWidth="1"/>
    <col min="8" max="8" width="14.5703125" style="2" customWidth="1"/>
    <col min="9" max="9" width="16.7109375" style="2" customWidth="1"/>
    <col min="10" max="16384" width="11.42578125" style="2"/>
  </cols>
  <sheetData>
    <row r="2" spans="2:8" x14ac:dyDescent="0.25">
      <c r="B2" s="11" t="s">
        <v>149</v>
      </c>
      <c r="G2" s="11" t="s">
        <v>148</v>
      </c>
    </row>
    <row r="4" spans="2:8" x14ac:dyDescent="0.25">
      <c r="B4" s="1" t="s">
        <v>145</v>
      </c>
    </row>
    <row r="5" spans="2:8" x14ac:dyDescent="0.25">
      <c r="B5" s="2" t="s">
        <v>52</v>
      </c>
      <c r="C5" s="44"/>
      <c r="G5" s="1" t="s">
        <v>147</v>
      </c>
    </row>
    <row r="6" spans="2:8" x14ac:dyDescent="0.25">
      <c r="B6" s="2" t="s">
        <v>163</v>
      </c>
      <c r="C6" s="44"/>
    </row>
    <row r="7" spans="2:8" x14ac:dyDescent="0.25">
      <c r="G7" s="2" t="s">
        <v>130</v>
      </c>
      <c r="H7" s="10">
        <f>'Technische Aufgaben'!H30</f>
        <v>60</v>
      </c>
    </row>
    <row r="8" spans="2:8" x14ac:dyDescent="0.25">
      <c r="B8" s="2" t="s">
        <v>49</v>
      </c>
      <c r="C8" s="44"/>
      <c r="G8" s="7" t="s">
        <v>150</v>
      </c>
      <c r="H8" s="10">
        <f>'Technische Aufgaben'!H31</f>
        <v>94838.399999999994</v>
      </c>
    </row>
    <row r="9" spans="2:8" ht="15.75" thickBot="1" x14ac:dyDescent="0.3">
      <c r="B9" s="2" t="s">
        <v>143</v>
      </c>
      <c r="C9" s="44"/>
      <c r="G9" s="8" t="s">
        <v>151</v>
      </c>
      <c r="H9" s="9">
        <f>H7/H8</f>
        <v>6.3265512703714955E-4</v>
      </c>
    </row>
    <row r="12" spans="2:8" x14ac:dyDescent="0.25">
      <c r="B12" s="1" t="s">
        <v>50</v>
      </c>
      <c r="C12" s="3"/>
    </row>
    <row r="13" spans="2:8" x14ac:dyDescent="0.25">
      <c r="B13" s="2" t="s">
        <v>105</v>
      </c>
      <c r="C13" s="44"/>
    </row>
    <row r="14" spans="2:8" x14ac:dyDescent="0.25">
      <c r="B14" s="2" t="s">
        <v>77</v>
      </c>
      <c r="C14" s="44"/>
      <c r="G14" s="1" t="s">
        <v>146</v>
      </c>
    </row>
    <row r="15" spans="2:8" x14ac:dyDescent="0.25">
      <c r="B15" s="2" t="s">
        <v>95</v>
      </c>
      <c r="C15" s="44"/>
    </row>
    <row r="16" spans="2:8" x14ac:dyDescent="0.25">
      <c r="B16" s="2" t="s">
        <v>73</v>
      </c>
      <c r="C16" s="44"/>
      <c r="G16" s="2" t="s">
        <v>130</v>
      </c>
      <c r="H16" s="10">
        <f>'Technische Aufgaben'!H35</f>
        <v>6954</v>
      </c>
    </row>
    <row r="17" spans="1:8" x14ac:dyDescent="0.25">
      <c r="B17" s="2" t="s">
        <v>75</v>
      </c>
      <c r="C17" s="44"/>
      <c r="G17" s="7" t="s">
        <v>150</v>
      </c>
      <c r="H17" s="10">
        <f>'Technische Aufgaben'!H36</f>
        <v>96048</v>
      </c>
    </row>
    <row r="18" spans="1:8" ht="15.75" thickBot="1" x14ac:dyDescent="0.3">
      <c r="B18" s="2" t="s">
        <v>94</v>
      </c>
      <c r="C18" s="44"/>
      <c r="G18" s="8" t="s">
        <v>151</v>
      </c>
      <c r="H18" s="9">
        <f>H16/H17</f>
        <v>7.2401299350324841E-2</v>
      </c>
    </row>
    <row r="19" spans="1:8" x14ac:dyDescent="0.25">
      <c r="B19" s="2" t="s">
        <v>74</v>
      </c>
      <c r="C19" s="44"/>
    </row>
    <row r="20" spans="1:8" x14ac:dyDescent="0.25">
      <c r="B20" s="2" t="s">
        <v>80</v>
      </c>
      <c r="C20" s="44"/>
    </row>
    <row r="21" spans="1:8" x14ac:dyDescent="0.25">
      <c r="B21" s="2" t="s">
        <v>76</v>
      </c>
      <c r="C21" s="44"/>
    </row>
    <row r="22" spans="1:8" x14ac:dyDescent="0.25">
      <c r="B22" s="2" t="s">
        <v>96</v>
      </c>
      <c r="C22" s="44"/>
    </row>
    <row r="23" spans="1:8" x14ac:dyDescent="0.25">
      <c r="B23" s="2" t="s">
        <v>81</v>
      </c>
      <c r="C23" s="44"/>
    </row>
    <row r="24" spans="1:8" x14ac:dyDescent="0.25">
      <c r="B24" s="2" t="s">
        <v>93</v>
      </c>
      <c r="C24" s="44"/>
    </row>
    <row r="25" spans="1:8" x14ac:dyDescent="0.25">
      <c r="B25" s="2" t="s">
        <v>165</v>
      </c>
      <c r="C25" s="44"/>
    </row>
    <row r="27" spans="1:8" x14ac:dyDescent="0.25">
      <c r="A27" s="4"/>
    </row>
  </sheetData>
  <sheetProtection sheet="1" objects="1" scenarios="1" selectLockedCell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zoomScale="85" zoomScaleNormal="85" workbookViewId="0">
      <selection activeCell="A3" sqref="A3"/>
    </sheetView>
  </sheetViews>
  <sheetFormatPr baseColWidth="10" defaultRowHeight="15" x14ac:dyDescent="0.25"/>
  <cols>
    <col min="1" max="1" width="34.140625" style="7" bestFit="1" customWidth="1"/>
    <col min="2" max="2" width="25" style="7" bestFit="1" customWidth="1"/>
    <col min="3" max="3" width="25" style="28" bestFit="1" customWidth="1"/>
    <col min="4" max="4" width="7.5703125" style="7" bestFit="1" customWidth="1"/>
    <col min="5" max="5" width="14.5703125" style="7" bestFit="1" customWidth="1"/>
    <col min="6" max="6" width="21.85546875" style="7" bestFit="1" customWidth="1"/>
    <col min="7" max="7" width="16.5703125" style="7" bestFit="1" customWidth="1"/>
    <col min="8" max="8" width="17.42578125" style="7" bestFit="1" customWidth="1"/>
    <col min="9" max="10" width="0" style="7" hidden="1" customWidth="1"/>
    <col min="11" max="11" width="11.42578125" style="7"/>
    <col min="12" max="12" width="19.85546875" style="7" bestFit="1" customWidth="1"/>
    <col min="13" max="13" width="0" style="7" hidden="1" customWidth="1"/>
    <col min="14" max="14" width="16.42578125" style="7" bestFit="1" customWidth="1"/>
    <col min="15" max="15" width="0" style="7" hidden="1" customWidth="1"/>
    <col min="16" max="16" width="11.42578125" style="7"/>
    <col min="17" max="17" width="0" style="7" hidden="1" customWidth="1"/>
    <col min="18" max="18" width="11.42578125" style="7"/>
    <col min="19" max="19" width="0" style="7" hidden="1" customWidth="1"/>
    <col min="20" max="20" width="14.28515625" style="7" bestFit="1" customWidth="1"/>
    <col min="21" max="21" width="0" style="7" hidden="1" customWidth="1"/>
    <col min="22" max="22" width="12.5703125" style="7" bestFit="1" customWidth="1"/>
    <col min="23" max="23" width="0" style="7" hidden="1" customWidth="1"/>
    <col min="24" max="24" width="20.28515625" style="7" bestFit="1" customWidth="1"/>
    <col min="25" max="25" width="0" style="7" hidden="1" customWidth="1"/>
    <col min="26" max="26" width="13.85546875" style="7" bestFit="1" customWidth="1"/>
    <col min="27" max="27" width="0" style="7" hidden="1" customWidth="1"/>
    <col min="28" max="28" width="8" style="7" customWidth="1"/>
    <col min="29" max="29" width="0" style="7" hidden="1" customWidth="1"/>
    <col min="30" max="30" width="14.5703125" style="7" bestFit="1" customWidth="1"/>
    <col min="31" max="31" width="0" style="7" hidden="1" customWidth="1"/>
    <col min="32" max="16384" width="11.42578125" style="7"/>
  </cols>
  <sheetData>
    <row r="1" spans="1:31" x14ac:dyDescent="0.25">
      <c r="A1" s="14" t="s">
        <v>99</v>
      </c>
      <c r="B1" s="14" t="s">
        <v>97</v>
      </c>
      <c r="C1" s="15" t="s">
        <v>132</v>
      </c>
      <c r="D1" s="14" t="s">
        <v>158</v>
      </c>
      <c r="E1" s="14" t="s">
        <v>159</v>
      </c>
      <c r="F1" s="14" t="s">
        <v>160</v>
      </c>
      <c r="G1" s="14" t="s">
        <v>152</v>
      </c>
      <c r="H1" s="14" t="s">
        <v>157</v>
      </c>
      <c r="L1" s="12" t="s">
        <v>161</v>
      </c>
    </row>
    <row r="2" spans="1:31" x14ac:dyDescent="0.25">
      <c r="A2" s="21" t="s">
        <v>165</v>
      </c>
      <c r="B2" s="21" t="s">
        <v>100</v>
      </c>
      <c r="C2" s="17">
        <v>1</v>
      </c>
      <c r="D2" s="17">
        <f>M17</f>
        <v>0</v>
      </c>
      <c r="E2" s="17">
        <f>1/C2</f>
        <v>1</v>
      </c>
      <c r="F2" s="17"/>
      <c r="G2" s="17">
        <v>240</v>
      </c>
      <c r="H2" s="19">
        <f>(F2+E2)*D2*G2</f>
        <v>0</v>
      </c>
      <c r="I2" s="7">
        <f>H3/60</f>
        <v>0</v>
      </c>
      <c r="J2" s="7">
        <f t="shared" ref="J2:J19" si="0">I2/8</f>
        <v>0</v>
      </c>
      <c r="L2" s="16"/>
      <c r="M2" s="16"/>
      <c r="N2" s="16" t="s">
        <v>82</v>
      </c>
      <c r="O2" s="16"/>
      <c r="P2" s="16" t="s">
        <v>83</v>
      </c>
      <c r="Q2" s="16"/>
      <c r="R2" s="16" t="s">
        <v>84</v>
      </c>
      <c r="S2" s="16"/>
      <c r="T2" s="16" t="s">
        <v>85</v>
      </c>
      <c r="U2" s="16"/>
      <c r="V2" s="16" t="s">
        <v>86</v>
      </c>
      <c r="W2" s="16"/>
      <c r="X2" s="16" t="s">
        <v>87</v>
      </c>
      <c r="Y2" s="16"/>
      <c r="Z2" s="16" t="s">
        <v>88</v>
      </c>
      <c r="AA2" s="16"/>
      <c r="AB2" s="16" t="s">
        <v>89</v>
      </c>
      <c r="AC2" s="16"/>
      <c r="AD2" s="16" t="s">
        <v>90</v>
      </c>
    </row>
    <row r="3" spans="1:31" x14ac:dyDescent="0.25">
      <c r="A3" s="16" t="s">
        <v>92</v>
      </c>
      <c r="B3" s="16" t="s">
        <v>100</v>
      </c>
      <c r="C3" s="17">
        <v>1</v>
      </c>
      <c r="D3" s="16">
        <f>M16</f>
        <v>0</v>
      </c>
      <c r="E3" s="16">
        <f t="shared" ref="E3:E27" si="1">1/C3</f>
        <v>1</v>
      </c>
      <c r="F3" s="16"/>
      <c r="G3" s="16">
        <v>240</v>
      </c>
      <c r="H3" s="18">
        <f t="shared" ref="H3:H27" si="2">(F3+E3)*D3*G3</f>
        <v>0</v>
      </c>
      <c r="I3" s="7">
        <f>H4/60</f>
        <v>0</v>
      </c>
      <c r="J3" s="7">
        <f t="shared" si="0"/>
        <v>0</v>
      </c>
      <c r="L3" s="16" t="s">
        <v>105</v>
      </c>
      <c r="M3" s="20">
        <f>Übersicht!C13</f>
        <v>0</v>
      </c>
      <c r="N3" s="16"/>
      <c r="O3" s="16"/>
      <c r="P3" s="16"/>
      <c r="Q3" s="16"/>
      <c r="R3" s="17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1" x14ac:dyDescent="0.25">
      <c r="A4" s="17" t="s">
        <v>82</v>
      </c>
      <c r="B4" s="17" t="s">
        <v>116</v>
      </c>
      <c r="C4" s="17">
        <v>0.5</v>
      </c>
      <c r="D4" s="17">
        <f>O14*1.2</f>
        <v>0</v>
      </c>
      <c r="E4" s="17">
        <f t="shared" si="1"/>
        <v>2</v>
      </c>
      <c r="F4" s="17">
        <f>M19*0.15*0.5+0.25*10</f>
        <v>2.5</v>
      </c>
      <c r="G4" s="17">
        <v>6</v>
      </c>
      <c r="H4" s="19">
        <f t="shared" si="2"/>
        <v>0</v>
      </c>
      <c r="I4" s="7">
        <f>H5/60</f>
        <v>0</v>
      </c>
      <c r="J4" s="7">
        <f t="shared" si="0"/>
        <v>0</v>
      </c>
      <c r="L4" s="16" t="s">
        <v>77</v>
      </c>
      <c r="M4" s="20">
        <f>Übersicht!C14</f>
        <v>0</v>
      </c>
      <c r="N4" s="16">
        <v>4</v>
      </c>
      <c r="O4" s="16">
        <f t="shared" ref="O4:O10" si="3">M4*N4</f>
        <v>0</v>
      </c>
      <c r="P4" s="16">
        <v>0</v>
      </c>
      <c r="Q4" s="16">
        <f t="shared" ref="Q4:Q10" si="4">M4*P4</f>
        <v>0</v>
      </c>
      <c r="R4" s="16">
        <v>0</v>
      </c>
      <c r="S4" s="16">
        <f t="shared" ref="S4:S10" si="5">M4*R4</f>
        <v>0</v>
      </c>
      <c r="T4" s="16">
        <v>0</v>
      </c>
      <c r="U4" s="16">
        <f t="shared" ref="U4:U10" si="6">M4*T4</f>
        <v>0</v>
      </c>
      <c r="V4" s="16">
        <v>0</v>
      </c>
      <c r="W4" s="16">
        <f t="shared" ref="W4:W10" si="7">M4*V4</f>
        <v>0</v>
      </c>
      <c r="X4" s="16">
        <v>1</v>
      </c>
      <c r="Y4" s="16">
        <f t="shared" ref="Y4:Y10" si="8">M4*X4</f>
        <v>0</v>
      </c>
      <c r="Z4" s="16">
        <v>0</v>
      </c>
      <c r="AA4" s="16">
        <f t="shared" ref="AA4:AA10" si="9">M4*Z4</f>
        <v>0</v>
      </c>
      <c r="AB4" s="16">
        <v>0</v>
      </c>
      <c r="AC4" s="16">
        <f t="shared" ref="AC4:AC10" si="10">M4*AB4</f>
        <v>0</v>
      </c>
      <c r="AD4" s="16">
        <v>22</v>
      </c>
      <c r="AE4" s="7">
        <f t="shared" ref="AE4:AE10" si="11">M4*AD4</f>
        <v>0</v>
      </c>
    </row>
    <row r="5" spans="1:31" x14ac:dyDescent="0.25">
      <c r="A5" s="21" t="s">
        <v>114</v>
      </c>
      <c r="B5" s="21" t="s">
        <v>115</v>
      </c>
      <c r="C5" s="17">
        <v>0.5</v>
      </c>
      <c r="D5" s="17">
        <f>O14*1.2</f>
        <v>0</v>
      </c>
      <c r="E5" s="17">
        <f t="shared" si="1"/>
        <v>2</v>
      </c>
      <c r="F5" s="17">
        <f>M19*0.15*0.5+0.25*10</f>
        <v>2.5</v>
      </c>
      <c r="G5" s="17">
        <v>6</v>
      </c>
      <c r="H5" s="19">
        <f t="shared" si="2"/>
        <v>0</v>
      </c>
      <c r="I5" s="7">
        <f>H24/60</f>
        <v>0</v>
      </c>
      <c r="J5" s="7">
        <f t="shared" si="0"/>
        <v>0</v>
      </c>
      <c r="L5" s="16" t="s">
        <v>95</v>
      </c>
      <c r="M5" s="20">
        <f>Übersicht!C15</f>
        <v>0</v>
      </c>
      <c r="N5" s="16">
        <v>4</v>
      </c>
      <c r="O5" s="16">
        <f t="shared" si="3"/>
        <v>0</v>
      </c>
      <c r="P5" s="16">
        <v>0</v>
      </c>
      <c r="Q5" s="16">
        <f t="shared" si="4"/>
        <v>0</v>
      </c>
      <c r="R5" s="16">
        <v>0</v>
      </c>
      <c r="S5" s="16">
        <f t="shared" si="5"/>
        <v>0</v>
      </c>
      <c r="T5" s="16">
        <v>0</v>
      </c>
      <c r="U5" s="16">
        <f t="shared" si="6"/>
        <v>0</v>
      </c>
      <c r="V5" s="16">
        <v>1</v>
      </c>
      <c r="W5" s="16">
        <f t="shared" si="7"/>
        <v>0</v>
      </c>
      <c r="X5" s="16">
        <v>3</v>
      </c>
      <c r="Y5" s="16">
        <f t="shared" si="8"/>
        <v>0</v>
      </c>
      <c r="Z5" s="16">
        <v>1</v>
      </c>
      <c r="AA5" s="16">
        <f t="shared" si="9"/>
        <v>0</v>
      </c>
      <c r="AB5" s="16">
        <v>0</v>
      </c>
      <c r="AC5" s="16">
        <f t="shared" si="10"/>
        <v>0</v>
      </c>
      <c r="AD5" s="16">
        <v>29</v>
      </c>
      <c r="AE5" s="7">
        <f t="shared" si="11"/>
        <v>0</v>
      </c>
    </row>
    <row r="6" spans="1:31" x14ac:dyDescent="0.25">
      <c r="A6" s="21" t="s">
        <v>111</v>
      </c>
      <c r="B6" s="21" t="s">
        <v>137</v>
      </c>
      <c r="C6" s="17">
        <v>6</v>
      </c>
      <c r="D6" s="17">
        <f>(O14)*1.2</f>
        <v>0</v>
      </c>
      <c r="E6" s="22">
        <f t="shared" si="1"/>
        <v>0.16666666666666666</v>
      </c>
      <c r="F6" s="17"/>
      <c r="G6" s="17">
        <v>60</v>
      </c>
      <c r="H6" s="19">
        <f t="shared" si="2"/>
        <v>0</v>
      </c>
      <c r="I6" s="7">
        <f>H7/60</f>
        <v>0</v>
      </c>
      <c r="J6" s="7">
        <f t="shared" si="0"/>
        <v>0</v>
      </c>
      <c r="L6" s="16" t="s">
        <v>73</v>
      </c>
      <c r="M6" s="20">
        <f>Übersicht!C16</f>
        <v>0</v>
      </c>
      <c r="N6" s="16">
        <v>4</v>
      </c>
      <c r="O6" s="16">
        <f t="shared" si="3"/>
        <v>0</v>
      </c>
      <c r="P6" s="16">
        <v>1</v>
      </c>
      <c r="Q6" s="16">
        <f t="shared" si="4"/>
        <v>0</v>
      </c>
      <c r="R6" s="16">
        <v>1</v>
      </c>
      <c r="S6" s="16">
        <f t="shared" si="5"/>
        <v>0</v>
      </c>
      <c r="T6" s="16">
        <v>0</v>
      </c>
      <c r="U6" s="16">
        <f t="shared" si="6"/>
        <v>0</v>
      </c>
      <c r="V6" s="16">
        <v>1</v>
      </c>
      <c r="W6" s="16">
        <f t="shared" si="7"/>
        <v>0</v>
      </c>
      <c r="X6" s="16">
        <v>3</v>
      </c>
      <c r="Y6" s="16">
        <f t="shared" si="8"/>
        <v>0</v>
      </c>
      <c r="Z6" s="16">
        <v>1</v>
      </c>
      <c r="AA6" s="16">
        <f t="shared" si="9"/>
        <v>0</v>
      </c>
      <c r="AB6" s="16">
        <v>0</v>
      </c>
      <c r="AC6" s="16">
        <f t="shared" si="10"/>
        <v>0</v>
      </c>
      <c r="AD6" s="16">
        <v>29</v>
      </c>
      <c r="AE6" s="7">
        <f t="shared" si="11"/>
        <v>0</v>
      </c>
    </row>
    <row r="7" spans="1:31" x14ac:dyDescent="0.25">
      <c r="A7" s="21" t="s">
        <v>112</v>
      </c>
      <c r="B7" s="21" t="s">
        <v>100</v>
      </c>
      <c r="C7" s="17">
        <v>1</v>
      </c>
      <c r="D7" s="17">
        <f>AC14</f>
        <v>0</v>
      </c>
      <c r="E7" s="17">
        <f t="shared" si="1"/>
        <v>1</v>
      </c>
      <c r="F7" s="17">
        <f>M19*0.01+3*0.5</f>
        <v>1.5</v>
      </c>
      <c r="G7" s="17">
        <v>30</v>
      </c>
      <c r="H7" s="19">
        <f t="shared" si="2"/>
        <v>0</v>
      </c>
      <c r="I7" s="7">
        <f>H16/60</f>
        <v>0</v>
      </c>
      <c r="J7" s="7">
        <f t="shared" si="0"/>
        <v>0</v>
      </c>
      <c r="L7" s="16" t="s">
        <v>75</v>
      </c>
      <c r="M7" s="20">
        <f>Übersicht!C17</f>
        <v>0</v>
      </c>
      <c r="N7" s="16">
        <v>2</v>
      </c>
      <c r="O7" s="16">
        <f t="shared" si="3"/>
        <v>0</v>
      </c>
      <c r="P7" s="16">
        <v>0</v>
      </c>
      <c r="Q7" s="16">
        <f t="shared" si="4"/>
        <v>0</v>
      </c>
      <c r="R7" s="16">
        <v>0</v>
      </c>
      <c r="S7" s="16">
        <f t="shared" si="5"/>
        <v>0</v>
      </c>
      <c r="T7" s="16">
        <v>0</v>
      </c>
      <c r="U7" s="16">
        <f t="shared" si="6"/>
        <v>0</v>
      </c>
      <c r="V7" s="16">
        <v>0</v>
      </c>
      <c r="W7" s="16">
        <f t="shared" si="7"/>
        <v>0</v>
      </c>
      <c r="X7" s="16">
        <v>2</v>
      </c>
      <c r="Y7" s="16">
        <f t="shared" si="8"/>
        <v>0</v>
      </c>
      <c r="Z7" s="16">
        <v>0</v>
      </c>
      <c r="AA7" s="16">
        <f t="shared" si="9"/>
        <v>0</v>
      </c>
      <c r="AB7" s="16">
        <v>0</v>
      </c>
      <c r="AC7" s="16">
        <f t="shared" si="10"/>
        <v>0</v>
      </c>
      <c r="AD7" s="16">
        <v>15</v>
      </c>
      <c r="AE7" s="7">
        <f t="shared" si="11"/>
        <v>0</v>
      </c>
    </row>
    <row r="8" spans="1:31" x14ac:dyDescent="0.25">
      <c r="A8" s="21" t="s">
        <v>113</v>
      </c>
      <c r="B8" s="21" t="s">
        <v>140</v>
      </c>
      <c r="C8" s="17">
        <v>2</v>
      </c>
      <c r="D8" s="17">
        <f>AE14*1.2</f>
        <v>0</v>
      </c>
      <c r="E8" s="17">
        <f t="shared" si="1"/>
        <v>0.5</v>
      </c>
      <c r="F8" s="17">
        <f>M19*0.15*0.3</f>
        <v>0</v>
      </c>
      <c r="G8" s="17">
        <v>15</v>
      </c>
      <c r="H8" s="19">
        <f t="shared" si="2"/>
        <v>0</v>
      </c>
      <c r="I8" s="7">
        <f>H8/60</f>
        <v>0</v>
      </c>
      <c r="J8" s="7">
        <f t="shared" si="0"/>
        <v>0</v>
      </c>
      <c r="L8" s="16" t="s">
        <v>94</v>
      </c>
      <c r="M8" s="20">
        <f>Übersicht!C18</f>
        <v>0</v>
      </c>
      <c r="N8" s="16">
        <v>2</v>
      </c>
      <c r="O8" s="16">
        <f t="shared" si="3"/>
        <v>0</v>
      </c>
      <c r="P8" s="16">
        <v>0</v>
      </c>
      <c r="Q8" s="16">
        <f t="shared" si="4"/>
        <v>0</v>
      </c>
      <c r="R8" s="16">
        <v>0</v>
      </c>
      <c r="S8" s="16">
        <f t="shared" si="5"/>
        <v>0</v>
      </c>
      <c r="T8" s="16">
        <v>0</v>
      </c>
      <c r="U8" s="16">
        <f t="shared" si="6"/>
        <v>0</v>
      </c>
      <c r="V8" s="16">
        <v>0</v>
      </c>
      <c r="W8" s="16">
        <f t="shared" si="7"/>
        <v>0</v>
      </c>
      <c r="X8" s="16">
        <v>1</v>
      </c>
      <c r="Y8" s="16">
        <f t="shared" si="8"/>
        <v>0</v>
      </c>
      <c r="Z8" s="16">
        <v>0</v>
      </c>
      <c r="AA8" s="16">
        <f t="shared" si="9"/>
        <v>0</v>
      </c>
      <c r="AB8" s="16">
        <v>0</v>
      </c>
      <c r="AC8" s="16">
        <f t="shared" si="10"/>
        <v>0</v>
      </c>
      <c r="AD8" s="16">
        <v>4</v>
      </c>
      <c r="AE8" s="7">
        <f t="shared" si="11"/>
        <v>0</v>
      </c>
    </row>
    <row r="9" spans="1:31" x14ac:dyDescent="0.25">
      <c r="A9" s="21" t="s">
        <v>117</v>
      </c>
      <c r="B9" s="21" t="s">
        <v>78</v>
      </c>
      <c r="C9" s="17">
        <v>0.5</v>
      </c>
      <c r="D9" s="17">
        <f>1+0.2*M14</f>
        <v>1</v>
      </c>
      <c r="E9" s="17">
        <f t="shared" si="1"/>
        <v>2</v>
      </c>
      <c r="F9" s="17">
        <f>M19</f>
        <v>0</v>
      </c>
      <c r="G9" s="17">
        <v>30</v>
      </c>
      <c r="H9" s="19">
        <f t="shared" si="2"/>
        <v>60</v>
      </c>
      <c r="I9" s="7">
        <f>H9/60</f>
        <v>1</v>
      </c>
      <c r="J9" s="7">
        <f t="shared" si="0"/>
        <v>0.125</v>
      </c>
      <c r="L9" s="16" t="s">
        <v>74</v>
      </c>
      <c r="M9" s="20">
        <f>Übersicht!C19</f>
        <v>0</v>
      </c>
      <c r="N9" s="16">
        <v>0</v>
      </c>
      <c r="O9" s="16">
        <f t="shared" si="3"/>
        <v>0</v>
      </c>
      <c r="P9" s="16">
        <v>1</v>
      </c>
      <c r="Q9" s="16">
        <f t="shared" si="4"/>
        <v>0</v>
      </c>
      <c r="R9" s="16">
        <v>1</v>
      </c>
      <c r="S9" s="16">
        <f t="shared" si="5"/>
        <v>0</v>
      </c>
      <c r="T9" s="16">
        <v>0</v>
      </c>
      <c r="U9" s="16">
        <f t="shared" si="6"/>
        <v>0</v>
      </c>
      <c r="V9" s="16">
        <v>0</v>
      </c>
      <c r="W9" s="16">
        <f t="shared" si="7"/>
        <v>0</v>
      </c>
      <c r="X9" s="16">
        <v>4</v>
      </c>
      <c r="Y9" s="16">
        <f t="shared" si="8"/>
        <v>0</v>
      </c>
      <c r="Z9" s="16">
        <v>0</v>
      </c>
      <c r="AA9" s="16">
        <f t="shared" si="9"/>
        <v>0</v>
      </c>
      <c r="AB9" s="16">
        <v>0</v>
      </c>
      <c r="AC9" s="16">
        <f t="shared" si="10"/>
        <v>0</v>
      </c>
      <c r="AD9" s="16">
        <v>0</v>
      </c>
      <c r="AE9" s="7">
        <f t="shared" si="11"/>
        <v>0</v>
      </c>
    </row>
    <row r="10" spans="1:31" x14ac:dyDescent="0.25">
      <c r="A10" s="21" t="s">
        <v>109</v>
      </c>
      <c r="B10" s="21" t="s">
        <v>102</v>
      </c>
      <c r="C10" s="23">
        <f>1/12</f>
        <v>8.3333333333333329E-2</v>
      </c>
      <c r="D10" s="17">
        <f>M3</f>
        <v>0</v>
      </c>
      <c r="E10" s="17">
        <f t="shared" si="1"/>
        <v>12</v>
      </c>
      <c r="F10" s="17"/>
      <c r="G10" s="17">
        <v>15</v>
      </c>
      <c r="H10" s="19">
        <f t="shared" si="2"/>
        <v>0</v>
      </c>
      <c r="I10" s="7">
        <f>H12/60</f>
        <v>0</v>
      </c>
      <c r="J10" s="7">
        <f t="shared" si="0"/>
        <v>0</v>
      </c>
      <c r="L10" s="16" t="s">
        <v>80</v>
      </c>
      <c r="M10" s="20">
        <f>Übersicht!C20</f>
        <v>0</v>
      </c>
      <c r="N10" s="16">
        <v>24</v>
      </c>
      <c r="O10" s="16">
        <f t="shared" si="3"/>
        <v>0</v>
      </c>
      <c r="P10" s="16">
        <v>0</v>
      </c>
      <c r="Q10" s="16">
        <f t="shared" si="4"/>
        <v>0</v>
      </c>
      <c r="R10" s="16">
        <v>0</v>
      </c>
      <c r="S10" s="16">
        <f t="shared" si="5"/>
        <v>0</v>
      </c>
      <c r="T10" s="16">
        <v>0</v>
      </c>
      <c r="U10" s="16">
        <f t="shared" si="6"/>
        <v>0</v>
      </c>
      <c r="V10" s="16">
        <v>0</v>
      </c>
      <c r="W10" s="16">
        <f t="shared" si="7"/>
        <v>0</v>
      </c>
      <c r="X10" s="16">
        <v>0</v>
      </c>
      <c r="Y10" s="16">
        <f t="shared" si="8"/>
        <v>0</v>
      </c>
      <c r="Z10" s="16">
        <v>0</v>
      </c>
      <c r="AA10" s="16">
        <f t="shared" si="9"/>
        <v>0</v>
      </c>
      <c r="AB10" s="16">
        <v>6</v>
      </c>
      <c r="AC10" s="16">
        <f t="shared" si="10"/>
        <v>0</v>
      </c>
      <c r="AD10" s="16">
        <v>0</v>
      </c>
      <c r="AE10" s="7">
        <f t="shared" si="11"/>
        <v>0</v>
      </c>
    </row>
    <row r="11" spans="1:31" x14ac:dyDescent="0.25">
      <c r="A11" s="21" t="s">
        <v>108</v>
      </c>
      <c r="B11" s="21" t="s">
        <v>102</v>
      </c>
      <c r="C11" s="23">
        <f>1/12</f>
        <v>8.3333333333333329E-2</v>
      </c>
      <c r="D11" s="17">
        <f>SUM(M4:M13)</f>
        <v>0</v>
      </c>
      <c r="E11" s="17">
        <f t="shared" si="1"/>
        <v>12</v>
      </c>
      <c r="F11" s="17"/>
      <c r="G11" s="17">
        <v>45</v>
      </c>
      <c r="H11" s="19">
        <f t="shared" si="2"/>
        <v>0</v>
      </c>
      <c r="I11" s="7">
        <f>H2/60</f>
        <v>0</v>
      </c>
      <c r="J11" s="7">
        <f t="shared" si="0"/>
        <v>0</v>
      </c>
      <c r="L11" s="16" t="s">
        <v>76</v>
      </c>
      <c r="M11" s="20">
        <f>Übersicht!C21</f>
        <v>0</v>
      </c>
      <c r="N11" s="16">
        <v>6</v>
      </c>
      <c r="O11" s="16">
        <f t="shared" ref="O11:O13" si="12">M11*N11</f>
        <v>0</v>
      </c>
      <c r="P11" s="16">
        <v>0</v>
      </c>
      <c r="Q11" s="16">
        <f t="shared" ref="Q11:Q13" si="13">M11*P11</f>
        <v>0</v>
      </c>
      <c r="R11" s="16">
        <v>0</v>
      </c>
      <c r="S11" s="16">
        <f t="shared" ref="S11:S13" si="14">M11*R11</f>
        <v>0</v>
      </c>
      <c r="T11" s="16">
        <v>1</v>
      </c>
      <c r="U11" s="16">
        <f t="shared" ref="U11:U13" si="15">M11*T11</f>
        <v>0</v>
      </c>
      <c r="V11" s="16">
        <v>0</v>
      </c>
      <c r="W11" s="16">
        <f t="shared" ref="W11:W13" si="16">M11*V11</f>
        <v>0</v>
      </c>
      <c r="X11" s="16">
        <v>3</v>
      </c>
      <c r="Y11" s="16">
        <f t="shared" ref="Y11:Y13" si="17">M11*X11</f>
        <v>0</v>
      </c>
      <c r="Z11" s="16">
        <v>4</v>
      </c>
      <c r="AA11" s="16">
        <f t="shared" ref="AA11:AA13" si="18">M11*Z11</f>
        <v>0</v>
      </c>
      <c r="AB11" s="16">
        <v>9</v>
      </c>
      <c r="AC11" s="16">
        <f t="shared" ref="AC11:AC13" si="19">M11*AB11</f>
        <v>0</v>
      </c>
      <c r="AD11" s="16">
        <v>0</v>
      </c>
      <c r="AE11" s="7">
        <f t="shared" ref="AE11:AE13" si="20">M11*AD11</f>
        <v>0</v>
      </c>
    </row>
    <row r="12" spans="1:31" x14ac:dyDescent="0.25">
      <c r="A12" s="21" t="s">
        <v>117</v>
      </c>
      <c r="B12" s="21" t="s">
        <v>98</v>
      </c>
      <c r="C12" s="17">
        <v>1</v>
      </c>
      <c r="D12" s="17">
        <f>M14</f>
        <v>0</v>
      </c>
      <c r="E12" s="17">
        <f t="shared" si="1"/>
        <v>1</v>
      </c>
      <c r="F12" s="17"/>
      <c r="G12" s="17">
        <v>300</v>
      </c>
      <c r="H12" s="19">
        <f t="shared" si="2"/>
        <v>0</v>
      </c>
      <c r="I12" s="7">
        <f>H20/60</f>
        <v>0</v>
      </c>
      <c r="J12" s="7">
        <f t="shared" si="0"/>
        <v>0</v>
      </c>
      <c r="L12" s="16" t="s">
        <v>96</v>
      </c>
      <c r="M12" s="20">
        <f>Übersicht!C22</f>
        <v>0</v>
      </c>
      <c r="N12" s="16">
        <v>0</v>
      </c>
      <c r="O12" s="16">
        <f>M12*N12</f>
        <v>0</v>
      </c>
      <c r="P12" s="16">
        <v>0</v>
      </c>
      <c r="Q12" s="16">
        <f>M12*P12</f>
        <v>0</v>
      </c>
      <c r="R12" s="16">
        <v>0</v>
      </c>
      <c r="S12" s="16">
        <f>M12*R12</f>
        <v>0</v>
      </c>
      <c r="T12" s="16">
        <v>0</v>
      </c>
      <c r="U12" s="16">
        <f>M12*T12</f>
        <v>0</v>
      </c>
      <c r="V12" s="16">
        <v>0</v>
      </c>
      <c r="W12" s="16">
        <f>M12*V12</f>
        <v>0</v>
      </c>
      <c r="X12" s="16">
        <v>1</v>
      </c>
      <c r="Y12" s="16">
        <f>M12*X12</f>
        <v>0</v>
      </c>
      <c r="Z12" s="16">
        <v>0</v>
      </c>
      <c r="AA12" s="16">
        <f>M12*Z12</f>
        <v>0</v>
      </c>
      <c r="AB12" s="16">
        <v>0</v>
      </c>
      <c r="AC12" s="16">
        <f>M12*AB12</f>
        <v>0</v>
      </c>
      <c r="AD12" s="16">
        <v>102</v>
      </c>
      <c r="AE12" s="7">
        <f>M12*AD12</f>
        <v>0</v>
      </c>
    </row>
    <row r="13" spans="1:31" x14ac:dyDescent="0.25">
      <c r="A13" s="21" t="s">
        <v>105</v>
      </c>
      <c r="B13" s="21" t="s">
        <v>100</v>
      </c>
      <c r="C13" s="17">
        <v>1</v>
      </c>
      <c r="D13" s="17">
        <f>M3</f>
        <v>0</v>
      </c>
      <c r="E13" s="17">
        <f t="shared" si="1"/>
        <v>1</v>
      </c>
      <c r="F13" s="17"/>
      <c r="G13" s="17">
        <v>240</v>
      </c>
      <c r="H13" s="19">
        <f t="shared" si="2"/>
        <v>0</v>
      </c>
      <c r="I13" s="7">
        <f>H15/60</f>
        <v>0</v>
      </c>
      <c r="J13" s="7">
        <f t="shared" si="0"/>
        <v>0</v>
      </c>
      <c r="L13" s="16" t="s">
        <v>81</v>
      </c>
      <c r="M13" s="20">
        <f>Übersicht!C23</f>
        <v>0</v>
      </c>
      <c r="N13" s="16">
        <v>4</v>
      </c>
      <c r="O13" s="16">
        <f t="shared" si="12"/>
        <v>0</v>
      </c>
      <c r="P13" s="16">
        <v>0</v>
      </c>
      <c r="Q13" s="16">
        <f t="shared" si="13"/>
        <v>0</v>
      </c>
      <c r="R13" s="16">
        <v>0</v>
      </c>
      <c r="S13" s="16">
        <f t="shared" si="14"/>
        <v>0</v>
      </c>
      <c r="T13" s="16">
        <v>0</v>
      </c>
      <c r="U13" s="16">
        <f t="shared" si="15"/>
        <v>0</v>
      </c>
      <c r="V13" s="16">
        <v>0</v>
      </c>
      <c r="W13" s="16">
        <f t="shared" si="16"/>
        <v>0</v>
      </c>
      <c r="X13" s="16">
        <v>1</v>
      </c>
      <c r="Y13" s="16">
        <f t="shared" si="17"/>
        <v>0</v>
      </c>
      <c r="Z13" s="16">
        <v>2</v>
      </c>
      <c r="AA13" s="16">
        <f t="shared" si="18"/>
        <v>0</v>
      </c>
      <c r="AB13" s="16">
        <v>4</v>
      </c>
      <c r="AC13" s="16">
        <f t="shared" si="19"/>
        <v>0</v>
      </c>
      <c r="AD13" s="16">
        <v>0</v>
      </c>
      <c r="AE13" s="7">
        <f t="shared" si="20"/>
        <v>0</v>
      </c>
    </row>
    <row r="14" spans="1:31" x14ac:dyDescent="0.25">
      <c r="A14" s="21" t="s">
        <v>107</v>
      </c>
      <c r="B14" s="21" t="s">
        <v>100</v>
      </c>
      <c r="C14" s="17">
        <v>1</v>
      </c>
      <c r="D14" s="17">
        <f>M5+M4</f>
        <v>0</v>
      </c>
      <c r="E14" s="17">
        <f t="shared" si="1"/>
        <v>1</v>
      </c>
      <c r="F14" s="17"/>
      <c r="G14" s="17">
        <v>480</v>
      </c>
      <c r="H14" s="19">
        <f t="shared" si="2"/>
        <v>0</v>
      </c>
      <c r="I14" s="7">
        <f>H11/60</f>
        <v>0</v>
      </c>
      <c r="J14" s="7">
        <f t="shared" si="0"/>
        <v>0</v>
      </c>
      <c r="M14" s="7">
        <f>SUM(M3:M13)</f>
        <v>0</v>
      </c>
      <c r="O14" s="24">
        <f>SUM(O3:O13)</f>
        <v>0</v>
      </c>
      <c r="P14" s="24"/>
      <c r="Q14" s="24">
        <f t="shared" ref="Q14:AE14" si="21">SUM(Q3:Q13)</f>
        <v>0</v>
      </c>
      <c r="R14" s="24"/>
      <c r="S14" s="24">
        <f t="shared" si="21"/>
        <v>0</v>
      </c>
      <c r="T14" s="24"/>
      <c r="U14" s="24">
        <f t="shared" si="21"/>
        <v>0</v>
      </c>
      <c r="V14" s="24"/>
      <c r="W14" s="24">
        <f t="shared" si="21"/>
        <v>0</v>
      </c>
      <c r="X14" s="24"/>
      <c r="Y14" s="24">
        <f t="shared" si="21"/>
        <v>0</v>
      </c>
      <c r="Z14" s="24"/>
      <c r="AA14" s="24">
        <f t="shared" si="21"/>
        <v>0</v>
      </c>
      <c r="AB14" s="24"/>
      <c r="AC14" s="24">
        <f t="shared" si="21"/>
        <v>0</v>
      </c>
      <c r="AD14" s="24"/>
      <c r="AE14" s="24">
        <f t="shared" si="21"/>
        <v>0</v>
      </c>
    </row>
    <row r="15" spans="1:31" x14ac:dyDescent="0.25">
      <c r="A15" s="21" t="s">
        <v>73</v>
      </c>
      <c r="B15" s="21" t="s">
        <v>100</v>
      </c>
      <c r="C15" s="17">
        <v>1</v>
      </c>
      <c r="D15" s="17">
        <f>M6</f>
        <v>0</v>
      </c>
      <c r="E15" s="17">
        <f t="shared" si="1"/>
        <v>1</v>
      </c>
      <c r="F15" s="17"/>
      <c r="G15" s="17">
        <v>960</v>
      </c>
      <c r="H15" s="19">
        <f t="shared" si="2"/>
        <v>0</v>
      </c>
      <c r="I15" s="7">
        <f>H10/60</f>
        <v>0</v>
      </c>
      <c r="J15" s="7">
        <f t="shared" si="0"/>
        <v>0</v>
      </c>
    </row>
    <row r="16" spans="1:31" x14ac:dyDescent="0.25">
      <c r="A16" s="21" t="s">
        <v>118</v>
      </c>
      <c r="B16" s="21" t="s">
        <v>100</v>
      </c>
      <c r="C16" s="17">
        <v>1</v>
      </c>
      <c r="D16" s="17">
        <f>M7+M8</f>
        <v>0</v>
      </c>
      <c r="E16" s="17">
        <f t="shared" si="1"/>
        <v>1</v>
      </c>
      <c r="F16" s="17"/>
      <c r="G16" s="17">
        <v>480</v>
      </c>
      <c r="H16" s="19">
        <f t="shared" si="2"/>
        <v>0</v>
      </c>
      <c r="I16" s="7">
        <f>H19/60</f>
        <v>0</v>
      </c>
      <c r="J16" s="7">
        <f t="shared" si="0"/>
        <v>0</v>
      </c>
      <c r="L16" s="13" t="s">
        <v>93</v>
      </c>
      <c r="M16" s="20">
        <f>Übersicht!C24</f>
        <v>0</v>
      </c>
    </row>
    <row r="17" spans="1:13" x14ac:dyDescent="0.25">
      <c r="A17" s="21" t="s">
        <v>106</v>
      </c>
      <c r="B17" s="21" t="s">
        <v>100</v>
      </c>
      <c r="C17" s="17">
        <v>1</v>
      </c>
      <c r="D17" s="17">
        <f>SUM(M9:M13)</f>
        <v>0</v>
      </c>
      <c r="E17" s="17">
        <f t="shared" si="1"/>
        <v>1</v>
      </c>
      <c r="F17" s="17"/>
      <c r="G17" s="17">
        <v>960</v>
      </c>
      <c r="H17" s="19">
        <f t="shared" si="2"/>
        <v>0</v>
      </c>
      <c r="I17" s="7">
        <f>H13/60</f>
        <v>0</v>
      </c>
      <c r="J17" s="7">
        <f t="shared" si="0"/>
        <v>0</v>
      </c>
      <c r="L17" s="13" t="s">
        <v>91</v>
      </c>
      <c r="M17" s="20">
        <f>Übersicht!C25</f>
        <v>0</v>
      </c>
    </row>
    <row r="18" spans="1:13" x14ac:dyDescent="0.25">
      <c r="A18" s="21" t="s">
        <v>110</v>
      </c>
      <c r="B18" s="21" t="s">
        <v>138</v>
      </c>
      <c r="C18" s="17">
        <v>0.25</v>
      </c>
      <c r="D18" s="17">
        <f>AA14</f>
        <v>0</v>
      </c>
      <c r="E18" s="17">
        <f t="shared" si="1"/>
        <v>4</v>
      </c>
      <c r="F18" s="17">
        <f>M19*0.05</f>
        <v>0</v>
      </c>
      <c r="G18" s="17">
        <v>30</v>
      </c>
      <c r="H18" s="19">
        <f t="shared" si="2"/>
        <v>0</v>
      </c>
      <c r="L18" s="13"/>
    </row>
    <row r="19" spans="1:13" x14ac:dyDescent="0.25">
      <c r="A19" s="21" t="s">
        <v>103</v>
      </c>
      <c r="B19" s="21" t="s">
        <v>100</v>
      </c>
      <c r="C19" s="17">
        <v>1</v>
      </c>
      <c r="D19" s="17">
        <f>S14</f>
        <v>0</v>
      </c>
      <c r="E19" s="17">
        <f t="shared" si="1"/>
        <v>1</v>
      </c>
      <c r="F19" s="17"/>
      <c r="G19" s="17">
        <v>120</v>
      </c>
      <c r="H19" s="19">
        <f t="shared" si="2"/>
        <v>0</v>
      </c>
      <c r="I19" s="7">
        <f>H21/60</f>
        <v>0</v>
      </c>
      <c r="J19" s="7">
        <f t="shared" si="0"/>
        <v>0</v>
      </c>
      <c r="L19" s="13" t="s">
        <v>49</v>
      </c>
      <c r="M19" s="20">
        <f>Übersicht!C8</f>
        <v>0</v>
      </c>
    </row>
    <row r="20" spans="1:13" x14ac:dyDescent="0.25">
      <c r="A20" s="21" t="s">
        <v>103</v>
      </c>
      <c r="B20" s="21" t="s">
        <v>139</v>
      </c>
      <c r="C20" s="17">
        <v>5</v>
      </c>
      <c r="D20" s="17">
        <f>S14</f>
        <v>0</v>
      </c>
      <c r="E20" s="17">
        <f t="shared" si="1"/>
        <v>0.2</v>
      </c>
      <c r="F20" s="17"/>
      <c r="G20" s="17">
        <v>180</v>
      </c>
      <c r="H20" s="19">
        <f t="shared" si="2"/>
        <v>0</v>
      </c>
      <c r="L20" s="13"/>
    </row>
    <row r="21" spans="1:13" x14ac:dyDescent="0.25">
      <c r="A21" s="21" t="s">
        <v>104</v>
      </c>
      <c r="B21" s="21" t="s">
        <v>100</v>
      </c>
      <c r="C21" s="17">
        <v>1</v>
      </c>
      <c r="D21" s="17">
        <f>U14</f>
        <v>0</v>
      </c>
      <c r="E21" s="17">
        <f t="shared" si="1"/>
        <v>1</v>
      </c>
      <c r="F21" s="17"/>
      <c r="G21" s="17">
        <v>150</v>
      </c>
      <c r="H21" s="19">
        <f t="shared" si="2"/>
        <v>0</v>
      </c>
      <c r="L21" s="13" t="s">
        <v>143</v>
      </c>
      <c r="M21" s="20">
        <f>Übersicht!C9</f>
        <v>0</v>
      </c>
    </row>
    <row r="22" spans="1:13" x14ac:dyDescent="0.25">
      <c r="A22" s="21" t="s">
        <v>83</v>
      </c>
      <c r="B22" s="21" t="s">
        <v>100</v>
      </c>
      <c r="C22" s="17">
        <v>1</v>
      </c>
      <c r="D22" s="17">
        <f>Q14</f>
        <v>0</v>
      </c>
      <c r="E22" s="17">
        <f t="shared" si="1"/>
        <v>1</v>
      </c>
      <c r="F22" s="17"/>
      <c r="G22" s="17">
        <v>210</v>
      </c>
      <c r="H22" s="19">
        <f t="shared" si="2"/>
        <v>0</v>
      </c>
      <c r="I22" s="7">
        <f>H17/60</f>
        <v>0</v>
      </c>
      <c r="J22" s="7">
        <f>I22/8</f>
        <v>0</v>
      </c>
      <c r="L22" s="25"/>
    </row>
    <row r="23" spans="1:13" x14ac:dyDescent="0.25">
      <c r="A23" s="21" t="s">
        <v>83</v>
      </c>
      <c r="B23" s="21" t="s">
        <v>141</v>
      </c>
      <c r="C23" s="17">
        <v>3</v>
      </c>
      <c r="D23" s="17">
        <f>Q14</f>
        <v>0</v>
      </c>
      <c r="E23" s="22">
        <f t="shared" si="1"/>
        <v>0.33333333333333331</v>
      </c>
      <c r="F23" s="17"/>
      <c r="G23" s="17">
        <v>960</v>
      </c>
      <c r="H23" s="19">
        <f t="shared" si="2"/>
        <v>0</v>
      </c>
      <c r="I23" s="7" t="e">
        <f>#REF!/60</f>
        <v>#REF!</v>
      </c>
      <c r="J23" s="7" t="e">
        <f t="shared" ref="J23:J29" si="22">I23/8</f>
        <v>#REF!</v>
      </c>
      <c r="L23" s="13" t="s">
        <v>61</v>
      </c>
      <c r="M23" s="20">
        <f>Übersicht!C6</f>
        <v>0</v>
      </c>
    </row>
    <row r="24" spans="1:13" x14ac:dyDescent="0.25">
      <c r="A24" s="21" t="s">
        <v>119</v>
      </c>
      <c r="B24" s="21" t="s">
        <v>115</v>
      </c>
      <c r="C24" s="17">
        <v>1</v>
      </c>
      <c r="D24" s="17">
        <f>M21</f>
        <v>0</v>
      </c>
      <c r="E24" s="17">
        <f t="shared" si="1"/>
        <v>1</v>
      </c>
      <c r="F24" s="17">
        <f>(M19*0.15*0.5+0.25*10)*0.1</f>
        <v>0.25</v>
      </c>
      <c r="G24" s="17">
        <v>6</v>
      </c>
      <c r="H24" s="19">
        <f t="shared" si="2"/>
        <v>0</v>
      </c>
      <c r="I24" s="7" t="e">
        <f>#REF!/60</f>
        <v>#REF!</v>
      </c>
      <c r="J24" s="7" t="e">
        <f t="shared" si="22"/>
        <v>#REF!</v>
      </c>
      <c r="L24" s="13"/>
    </row>
    <row r="25" spans="1:13" x14ac:dyDescent="0.25">
      <c r="A25" s="21" t="s">
        <v>86</v>
      </c>
      <c r="B25" s="21" t="s">
        <v>100</v>
      </c>
      <c r="C25" s="17">
        <v>1</v>
      </c>
      <c r="D25" s="17">
        <f>W14</f>
        <v>0</v>
      </c>
      <c r="E25" s="17">
        <f t="shared" si="1"/>
        <v>1</v>
      </c>
      <c r="F25" s="17"/>
      <c r="G25" s="17">
        <v>150</v>
      </c>
      <c r="H25" s="19">
        <f t="shared" si="2"/>
        <v>0</v>
      </c>
      <c r="I25" s="7">
        <f>H25/60</f>
        <v>0</v>
      </c>
      <c r="J25" s="7">
        <f t="shared" si="22"/>
        <v>0</v>
      </c>
      <c r="L25" s="13" t="s">
        <v>52</v>
      </c>
      <c r="M25" s="20">
        <f>Übersicht!C5</f>
        <v>0</v>
      </c>
    </row>
    <row r="26" spans="1:13" x14ac:dyDescent="0.25">
      <c r="A26" s="26" t="s">
        <v>86</v>
      </c>
      <c r="B26" s="26" t="s">
        <v>101</v>
      </c>
      <c r="C26" s="17">
        <v>5</v>
      </c>
      <c r="D26" s="16">
        <f>W14</f>
        <v>0</v>
      </c>
      <c r="E26" s="16">
        <f t="shared" si="1"/>
        <v>0.2</v>
      </c>
      <c r="F26" s="16"/>
      <c r="G26" s="16">
        <v>300</v>
      </c>
      <c r="H26" s="18">
        <f t="shared" si="2"/>
        <v>0</v>
      </c>
      <c r="I26" s="7">
        <f>H22/60</f>
        <v>0</v>
      </c>
      <c r="J26" s="7">
        <f t="shared" si="22"/>
        <v>0</v>
      </c>
    </row>
    <row r="27" spans="1:13" x14ac:dyDescent="0.25">
      <c r="A27" s="26" t="s">
        <v>87</v>
      </c>
      <c r="B27" s="26" t="s">
        <v>142</v>
      </c>
      <c r="C27" s="17">
        <v>2</v>
      </c>
      <c r="D27" s="16">
        <f>Y14</f>
        <v>0</v>
      </c>
      <c r="E27" s="16">
        <f t="shared" si="1"/>
        <v>0.5</v>
      </c>
      <c r="F27" s="16"/>
      <c r="G27" s="16">
        <v>36</v>
      </c>
      <c r="H27" s="18">
        <f t="shared" si="2"/>
        <v>0</v>
      </c>
      <c r="I27" s="7">
        <f>H27/60</f>
        <v>0</v>
      </c>
      <c r="J27" s="7">
        <f t="shared" si="22"/>
        <v>0</v>
      </c>
    </row>
    <row r="28" spans="1:13" x14ac:dyDescent="0.25">
      <c r="A28" s="27"/>
      <c r="B28" s="27"/>
      <c r="H28" s="29"/>
      <c r="I28" s="7">
        <f>H23/60</f>
        <v>0</v>
      </c>
      <c r="J28" s="7">
        <f t="shared" si="22"/>
        <v>0</v>
      </c>
    </row>
    <row r="29" spans="1:13" x14ac:dyDescent="0.25">
      <c r="A29" s="27"/>
      <c r="B29" s="27"/>
      <c r="F29" s="30"/>
      <c r="G29" s="31"/>
      <c r="H29" s="32"/>
      <c r="I29" s="7">
        <f>H14/60</f>
        <v>0</v>
      </c>
      <c r="J29" s="7">
        <f t="shared" si="22"/>
        <v>0</v>
      </c>
    </row>
    <row r="30" spans="1:13" x14ac:dyDescent="0.25">
      <c r="F30" s="31" t="s">
        <v>133</v>
      </c>
      <c r="G30" s="31"/>
      <c r="H30" s="33">
        <f>SUM(H2:H29)</f>
        <v>60</v>
      </c>
    </row>
    <row r="31" spans="1:13" x14ac:dyDescent="0.25">
      <c r="F31" s="31" t="s">
        <v>134</v>
      </c>
      <c r="G31" s="31"/>
      <c r="H31" s="33">
        <v>94838.399999999994</v>
      </c>
    </row>
    <row r="32" spans="1:13" x14ac:dyDescent="0.25">
      <c r="F32" s="31" t="s">
        <v>131</v>
      </c>
      <c r="G32" s="31"/>
      <c r="H32" s="34">
        <f>H30/H31</f>
        <v>6.3265512703714955E-4</v>
      </c>
      <c r="J32" s="7" t="e">
        <f>SUM(J2:J29)</f>
        <v>#REF!</v>
      </c>
    </row>
    <row r="33" spans="6:8" x14ac:dyDescent="0.25">
      <c r="F33" s="31"/>
      <c r="G33" s="31"/>
      <c r="H33" s="31"/>
    </row>
    <row r="34" spans="6:8" x14ac:dyDescent="0.25">
      <c r="F34" s="31"/>
      <c r="G34" s="31"/>
      <c r="H34" s="31"/>
    </row>
    <row r="35" spans="6:8" x14ac:dyDescent="0.25">
      <c r="F35" s="31" t="s">
        <v>135</v>
      </c>
      <c r="G35" s="31"/>
      <c r="H35" s="31">
        <f>Managementaufgaben!H50</f>
        <v>6954</v>
      </c>
    </row>
    <row r="36" spans="6:8" x14ac:dyDescent="0.25">
      <c r="F36" s="31" t="s">
        <v>134</v>
      </c>
      <c r="G36" s="31"/>
      <c r="H36" s="33">
        <v>96048</v>
      </c>
    </row>
    <row r="37" spans="6:8" x14ac:dyDescent="0.25">
      <c r="F37" s="31" t="s">
        <v>131</v>
      </c>
      <c r="G37" s="31"/>
      <c r="H37" s="34">
        <f>H35/H36</f>
        <v>7.2401299350324841E-2</v>
      </c>
    </row>
    <row r="38" spans="6:8" x14ac:dyDescent="0.25">
      <c r="F38" s="31"/>
      <c r="G38" s="31"/>
      <c r="H38" s="31"/>
    </row>
    <row r="40" spans="6:8" x14ac:dyDescent="0.25">
      <c r="G40" s="7" t="s">
        <v>136</v>
      </c>
      <c r="H40" s="35">
        <f>H32+H37</f>
        <v>7.3033954477361995E-2</v>
      </c>
    </row>
    <row r="41" spans="6:8" x14ac:dyDescent="0.25">
      <c r="G41" s="7" t="s">
        <v>2</v>
      </c>
      <c r="H41" s="36">
        <f>H40*40</f>
        <v>2.9213581790944798</v>
      </c>
    </row>
  </sheetData>
  <sheetProtection sheet="1" objects="1" scenarios="1" selectLockedCells="1"/>
  <sortState ref="A2:J27">
    <sortCondition ref="A2:A27"/>
    <sortCondition ref="C2:C27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="70" zoomScaleNormal="70" workbookViewId="0">
      <selection activeCell="A34" sqref="A34"/>
    </sheetView>
  </sheetViews>
  <sheetFormatPr baseColWidth="10" defaultRowHeight="15" x14ac:dyDescent="0.25"/>
  <cols>
    <col min="1" max="1" width="66" style="7" bestFit="1" customWidth="1"/>
    <col min="2" max="2" width="18.85546875" style="7" bestFit="1" customWidth="1"/>
    <col min="3" max="3" width="10.5703125" style="7" bestFit="1" customWidth="1"/>
    <col min="4" max="4" width="8.140625" style="7" hidden="1" customWidth="1"/>
    <col min="5" max="5" width="96" style="7" hidden="1" customWidth="1"/>
    <col min="6" max="6" width="16" style="7" hidden="1" customWidth="1"/>
    <col min="7" max="7" width="12.28515625" style="7" hidden="1" customWidth="1"/>
    <col min="8" max="8" width="18.7109375" style="7" bestFit="1" customWidth="1"/>
    <col min="9" max="9" width="11.42578125" style="7"/>
    <col min="10" max="10" width="28.7109375" style="7" bestFit="1" customWidth="1"/>
    <col min="11" max="11" width="11.42578125" style="7"/>
    <col min="12" max="12" width="33" style="7" bestFit="1" customWidth="1"/>
    <col min="13" max="16384" width="11.42578125" style="7"/>
  </cols>
  <sheetData>
    <row r="1" spans="1:12" x14ac:dyDescent="0.25">
      <c r="A1" s="14" t="s">
        <v>144</v>
      </c>
      <c r="B1" s="14" t="s">
        <v>152</v>
      </c>
      <c r="C1" s="14" t="s">
        <v>0</v>
      </c>
      <c r="D1" s="14" t="s">
        <v>130</v>
      </c>
      <c r="E1" s="14" t="s">
        <v>55</v>
      </c>
      <c r="F1" s="14"/>
      <c r="G1" s="14" t="s">
        <v>72</v>
      </c>
      <c r="H1" s="14" t="s">
        <v>162</v>
      </c>
      <c r="J1" s="13"/>
      <c r="K1" s="13"/>
      <c r="L1" s="13" t="s">
        <v>70</v>
      </c>
    </row>
    <row r="2" spans="1:12" x14ac:dyDescent="0.25">
      <c r="A2" s="37" t="s">
        <v>3</v>
      </c>
      <c r="B2" s="16"/>
      <c r="C2" s="16"/>
      <c r="D2" s="16"/>
      <c r="E2" s="16"/>
      <c r="F2" s="16"/>
      <c r="G2" s="16"/>
      <c r="H2" s="16"/>
      <c r="J2" s="13" t="s">
        <v>71</v>
      </c>
      <c r="K2" s="13">
        <f>'Technische Aufgaben'!M21</f>
        <v>0</v>
      </c>
      <c r="L2" s="13"/>
    </row>
    <row r="3" spans="1:12" x14ac:dyDescent="0.25">
      <c r="A3" s="38" t="s">
        <v>4</v>
      </c>
      <c r="B3" s="16">
        <v>2400</v>
      </c>
      <c r="C3" s="16">
        <v>0.2</v>
      </c>
      <c r="D3" s="18">
        <f>H3</f>
        <v>480</v>
      </c>
      <c r="E3" s="16" t="s">
        <v>79</v>
      </c>
      <c r="F3" s="16">
        <f t="shared" ref="F3:F34" si="0">B3*C3</f>
        <v>480</v>
      </c>
      <c r="G3" s="16">
        <v>1</v>
      </c>
      <c r="H3" s="18">
        <f>F3*G3</f>
        <v>480</v>
      </c>
      <c r="I3" s="29"/>
      <c r="J3" s="13" t="s">
        <v>49</v>
      </c>
      <c r="K3" s="13">
        <f>'Technische Aufgaben'!M19</f>
        <v>0</v>
      </c>
      <c r="L3" s="13"/>
    </row>
    <row r="4" spans="1:12" x14ac:dyDescent="0.25">
      <c r="A4" s="38" t="s">
        <v>5</v>
      </c>
      <c r="B4" s="16">
        <v>240</v>
      </c>
      <c r="C4" s="16">
        <v>6</v>
      </c>
      <c r="D4" s="18">
        <f>H4</f>
        <v>1440</v>
      </c>
      <c r="E4" s="16" t="s">
        <v>56</v>
      </c>
      <c r="F4" s="16">
        <f>B4*C4</f>
        <v>1440</v>
      </c>
      <c r="G4" s="16">
        <v>1</v>
      </c>
      <c r="H4" s="18">
        <f>F4*G4</f>
        <v>1440</v>
      </c>
      <c r="I4" s="29"/>
      <c r="J4" s="13" t="s">
        <v>50</v>
      </c>
      <c r="K4" s="13">
        <f>'Technische Aufgaben'!M14</f>
        <v>0</v>
      </c>
      <c r="L4" s="13"/>
    </row>
    <row r="5" spans="1:12" x14ac:dyDescent="0.25">
      <c r="A5" s="37" t="s">
        <v>6</v>
      </c>
      <c r="B5" s="16"/>
      <c r="C5" s="16"/>
      <c r="D5" s="18"/>
      <c r="E5" s="16"/>
      <c r="F5" s="16">
        <f t="shared" si="0"/>
        <v>0</v>
      </c>
      <c r="G5" s="16"/>
      <c r="H5" s="18"/>
      <c r="I5" s="29"/>
      <c r="J5" s="13" t="s">
        <v>52</v>
      </c>
      <c r="K5" s="13">
        <f>'Technische Aufgaben'!M25</f>
        <v>0</v>
      </c>
      <c r="L5" s="13"/>
    </row>
    <row r="6" spans="1:12" x14ac:dyDescent="0.25">
      <c r="A6" s="38" t="s">
        <v>7</v>
      </c>
      <c r="B6" s="16"/>
      <c r="C6" s="16"/>
      <c r="D6" s="18"/>
      <c r="E6" s="16"/>
      <c r="F6" s="16">
        <f t="shared" si="0"/>
        <v>0</v>
      </c>
      <c r="G6" s="16"/>
      <c r="H6" s="18"/>
      <c r="I6" s="29"/>
      <c r="J6" s="13" t="s">
        <v>61</v>
      </c>
      <c r="K6" s="13">
        <f>'Technische Aufgaben'!M23</f>
        <v>0</v>
      </c>
      <c r="L6" s="13"/>
    </row>
    <row r="7" spans="1:12" x14ac:dyDescent="0.25">
      <c r="A7" s="39" t="s">
        <v>8</v>
      </c>
      <c r="B7" s="16">
        <v>6</v>
      </c>
      <c r="C7" s="16">
        <f>K2*0.1</f>
        <v>0</v>
      </c>
      <c r="D7" s="18">
        <f>H7</f>
        <v>0</v>
      </c>
      <c r="E7" s="16" t="s">
        <v>57</v>
      </c>
      <c r="F7" s="16">
        <f t="shared" si="0"/>
        <v>0</v>
      </c>
      <c r="G7" s="16">
        <v>1</v>
      </c>
      <c r="H7" s="18">
        <f>F7*G7</f>
        <v>0</v>
      </c>
      <c r="I7" s="29"/>
      <c r="J7" s="12" t="s">
        <v>156</v>
      </c>
    </row>
    <row r="8" spans="1:12" x14ac:dyDescent="0.25">
      <c r="A8" s="39" t="s">
        <v>9</v>
      </c>
      <c r="B8" s="16">
        <v>6</v>
      </c>
      <c r="C8" s="16">
        <f>K2</f>
        <v>0</v>
      </c>
      <c r="D8" s="18">
        <f>H8</f>
        <v>0</v>
      </c>
      <c r="E8" s="16" t="s">
        <v>58</v>
      </c>
      <c r="F8" s="16">
        <f t="shared" si="0"/>
        <v>0</v>
      </c>
      <c r="G8" s="16">
        <v>1</v>
      </c>
      <c r="H8" s="18">
        <f>F8*G8</f>
        <v>0</v>
      </c>
      <c r="I8" s="29"/>
      <c r="J8" s="16" t="s">
        <v>51</v>
      </c>
      <c r="K8" s="16">
        <f>K5/10</f>
        <v>0</v>
      </c>
      <c r="L8" s="16" t="s">
        <v>153</v>
      </c>
    </row>
    <row r="9" spans="1:12" x14ac:dyDescent="0.25">
      <c r="A9" s="39" t="s">
        <v>10</v>
      </c>
      <c r="B9" s="16">
        <v>6</v>
      </c>
      <c r="C9" s="40">
        <f>K2*1/3*K3*1/3</f>
        <v>0</v>
      </c>
      <c r="D9" s="18">
        <f>H9</f>
        <v>0</v>
      </c>
      <c r="E9" s="16" t="s">
        <v>127</v>
      </c>
      <c r="F9" s="16">
        <f t="shared" si="0"/>
        <v>0</v>
      </c>
      <c r="G9" s="16">
        <v>1</v>
      </c>
      <c r="H9" s="18">
        <f>F9*G9</f>
        <v>0</v>
      </c>
      <c r="I9" s="29"/>
      <c r="J9" s="16" t="s">
        <v>53</v>
      </c>
      <c r="K9" s="16">
        <f>K5/500</f>
        <v>0</v>
      </c>
      <c r="L9" s="16" t="s">
        <v>154</v>
      </c>
    </row>
    <row r="10" spans="1:12" x14ac:dyDescent="0.25">
      <c r="A10" s="39" t="s">
        <v>11</v>
      </c>
      <c r="B10" s="16">
        <v>12</v>
      </c>
      <c r="C10" s="16">
        <f>K2*1/3</f>
        <v>0</v>
      </c>
      <c r="D10" s="18">
        <f>H10</f>
        <v>0</v>
      </c>
      <c r="E10" s="16" t="s">
        <v>59</v>
      </c>
      <c r="F10" s="16">
        <f t="shared" si="0"/>
        <v>0</v>
      </c>
      <c r="G10" s="16">
        <v>1</v>
      </c>
      <c r="H10" s="18">
        <f>F10*G10</f>
        <v>0</v>
      </c>
      <c r="I10" s="29"/>
      <c r="J10" s="16" t="s">
        <v>54</v>
      </c>
      <c r="K10" s="16">
        <f>K5/500</f>
        <v>0</v>
      </c>
      <c r="L10" s="16" t="s">
        <v>155</v>
      </c>
    </row>
    <row r="11" spans="1:12" x14ac:dyDescent="0.25">
      <c r="A11" s="38" t="s">
        <v>12</v>
      </c>
      <c r="B11" s="16"/>
      <c r="C11" s="16"/>
      <c r="D11" s="18"/>
      <c r="E11" s="16"/>
      <c r="F11" s="16">
        <f t="shared" si="0"/>
        <v>0</v>
      </c>
      <c r="G11" s="16"/>
      <c r="H11" s="18"/>
      <c r="I11" s="29"/>
    </row>
    <row r="12" spans="1:12" x14ac:dyDescent="0.25">
      <c r="A12" s="39" t="s">
        <v>1</v>
      </c>
      <c r="B12" s="16">
        <v>60</v>
      </c>
      <c r="C12" s="16">
        <f>K3</f>
        <v>0</v>
      </c>
      <c r="D12" s="18">
        <f>H12</f>
        <v>0</v>
      </c>
      <c r="E12" s="16"/>
      <c r="F12" s="16">
        <f t="shared" si="0"/>
        <v>0</v>
      </c>
      <c r="G12" s="16">
        <v>1</v>
      </c>
      <c r="H12" s="18">
        <f>F12*G12</f>
        <v>0</v>
      </c>
      <c r="I12" s="29"/>
    </row>
    <row r="13" spans="1:12" x14ac:dyDescent="0.25">
      <c r="A13" s="39" t="s">
        <v>13</v>
      </c>
      <c r="B13" s="16">
        <v>30</v>
      </c>
      <c r="C13" s="16">
        <f>K3*0.5</f>
        <v>0</v>
      </c>
      <c r="D13" s="18">
        <f>H13</f>
        <v>0</v>
      </c>
      <c r="E13" s="16" t="s">
        <v>60</v>
      </c>
      <c r="F13" s="16">
        <f t="shared" si="0"/>
        <v>0</v>
      </c>
      <c r="G13" s="16">
        <v>1</v>
      </c>
      <c r="H13" s="18">
        <f>F13*G13</f>
        <v>0</v>
      </c>
      <c r="I13" s="29"/>
      <c r="K13" s="36"/>
    </row>
    <row r="14" spans="1:12" x14ac:dyDescent="0.25">
      <c r="A14" s="39" t="s">
        <v>14</v>
      </c>
      <c r="B14" s="16">
        <v>6</v>
      </c>
      <c r="C14" s="16">
        <v>12</v>
      </c>
      <c r="D14" s="18">
        <f>H14</f>
        <v>72</v>
      </c>
      <c r="E14" s="16" t="s">
        <v>64</v>
      </c>
      <c r="F14" s="16">
        <f t="shared" si="0"/>
        <v>72</v>
      </c>
      <c r="G14" s="16">
        <v>1</v>
      </c>
      <c r="H14" s="18">
        <f>F14*G14</f>
        <v>72</v>
      </c>
      <c r="I14" s="29"/>
      <c r="K14" s="36"/>
    </row>
    <row r="15" spans="1:12" x14ac:dyDescent="0.25">
      <c r="A15" s="39" t="s">
        <v>15</v>
      </c>
      <c r="B15" s="16">
        <v>30</v>
      </c>
      <c r="C15" s="16">
        <v>1</v>
      </c>
      <c r="D15" s="18">
        <f>H15</f>
        <v>30</v>
      </c>
      <c r="E15" s="16" t="s">
        <v>63</v>
      </c>
      <c r="F15" s="16">
        <f t="shared" si="0"/>
        <v>30</v>
      </c>
      <c r="G15" s="16">
        <v>1</v>
      </c>
      <c r="H15" s="18">
        <f>F15*G15</f>
        <v>30</v>
      </c>
      <c r="I15" s="29"/>
    </row>
    <row r="16" spans="1:12" x14ac:dyDescent="0.25">
      <c r="A16" s="38" t="s">
        <v>16</v>
      </c>
      <c r="B16" s="16">
        <v>180</v>
      </c>
      <c r="C16" s="41">
        <f>K4*1/15</f>
        <v>0</v>
      </c>
      <c r="D16" s="18">
        <f>H16</f>
        <v>0</v>
      </c>
      <c r="E16" s="16" t="s">
        <v>120</v>
      </c>
      <c r="F16" s="16">
        <f t="shared" si="0"/>
        <v>0</v>
      </c>
      <c r="G16" s="16">
        <v>1</v>
      </c>
      <c r="H16" s="18">
        <f>F16*G16</f>
        <v>0</v>
      </c>
      <c r="I16" s="29"/>
      <c r="K16" s="36"/>
    </row>
    <row r="17" spans="1:9" x14ac:dyDescent="0.25">
      <c r="A17" s="37" t="s">
        <v>17</v>
      </c>
      <c r="B17" s="16"/>
      <c r="C17" s="16"/>
      <c r="D17" s="18"/>
      <c r="E17" s="16"/>
      <c r="F17" s="16">
        <f t="shared" si="0"/>
        <v>0</v>
      </c>
      <c r="G17" s="16"/>
      <c r="H17" s="18"/>
      <c r="I17" s="29"/>
    </row>
    <row r="18" spans="1:9" x14ac:dyDescent="0.25">
      <c r="A18" s="38" t="s">
        <v>18</v>
      </c>
      <c r="B18" s="16">
        <v>4800</v>
      </c>
      <c r="C18" s="16">
        <f>K6*1/40</f>
        <v>0</v>
      </c>
      <c r="D18" s="18">
        <f>H18</f>
        <v>0</v>
      </c>
      <c r="E18" s="16" t="s">
        <v>62</v>
      </c>
      <c r="F18" s="16">
        <f t="shared" si="0"/>
        <v>0</v>
      </c>
      <c r="G18" s="16">
        <v>1</v>
      </c>
      <c r="H18" s="18">
        <f>F18*G18</f>
        <v>0</v>
      </c>
      <c r="I18" s="29"/>
    </row>
    <row r="19" spans="1:9" x14ac:dyDescent="0.25">
      <c r="A19" s="38" t="s">
        <v>19</v>
      </c>
      <c r="B19" s="16"/>
      <c r="C19" s="16"/>
      <c r="D19" s="18"/>
      <c r="E19" s="16"/>
      <c r="F19" s="16">
        <f t="shared" si="0"/>
        <v>0</v>
      </c>
      <c r="G19" s="16"/>
      <c r="H19" s="18"/>
      <c r="I19" s="29"/>
    </row>
    <row r="20" spans="1:9" x14ac:dyDescent="0.25">
      <c r="A20" s="39" t="s">
        <v>20</v>
      </c>
      <c r="B20" s="16">
        <v>60</v>
      </c>
      <c r="C20" s="16">
        <v>1</v>
      </c>
      <c r="D20" s="18">
        <f>H20</f>
        <v>60</v>
      </c>
      <c r="E20" s="16" t="s">
        <v>63</v>
      </c>
      <c r="F20" s="16">
        <f t="shared" si="0"/>
        <v>60</v>
      </c>
      <c r="G20" s="16">
        <v>1</v>
      </c>
      <c r="H20" s="18">
        <f>F20*G20</f>
        <v>60</v>
      </c>
      <c r="I20" s="29"/>
    </row>
    <row r="21" spans="1:9" x14ac:dyDescent="0.25">
      <c r="A21" s="39" t="s">
        <v>21</v>
      </c>
      <c r="B21" s="16">
        <v>480</v>
      </c>
      <c r="C21" s="41">
        <f>K4/15</f>
        <v>0</v>
      </c>
      <c r="D21" s="18">
        <f>H21</f>
        <v>0</v>
      </c>
      <c r="E21" s="16" t="s">
        <v>120</v>
      </c>
      <c r="F21" s="16">
        <f t="shared" si="0"/>
        <v>0</v>
      </c>
      <c r="G21" s="16">
        <v>1</v>
      </c>
      <c r="H21" s="18">
        <f>F21*G21</f>
        <v>0</v>
      </c>
      <c r="I21" s="29"/>
    </row>
    <row r="22" spans="1:9" x14ac:dyDescent="0.25">
      <c r="A22" s="39" t="s">
        <v>22</v>
      </c>
      <c r="B22" s="16">
        <v>480</v>
      </c>
      <c r="C22" s="41">
        <f>K4/15+K6/40</f>
        <v>0</v>
      </c>
      <c r="D22" s="18">
        <f>H22</f>
        <v>0</v>
      </c>
      <c r="E22" s="16" t="s">
        <v>122</v>
      </c>
      <c r="F22" s="16">
        <f t="shared" si="0"/>
        <v>0</v>
      </c>
      <c r="G22" s="16">
        <v>1</v>
      </c>
      <c r="H22" s="18">
        <f>F22*G22</f>
        <v>0</v>
      </c>
      <c r="I22" s="29"/>
    </row>
    <row r="23" spans="1:9" x14ac:dyDescent="0.25">
      <c r="A23" s="38" t="s">
        <v>23</v>
      </c>
      <c r="B23" s="16">
        <v>120</v>
      </c>
      <c r="C23" s="16">
        <f>K8*1/20</f>
        <v>0</v>
      </c>
      <c r="D23" s="18">
        <f>H23</f>
        <v>0</v>
      </c>
      <c r="E23" s="16" t="s">
        <v>121</v>
      </c>
      <c r="F23" s="16">
        <f t="shared" si="0"/>
        <v>0</v>
      </c>
      <c r="G23" s="16">
        <v>1</v>
      </c>
      <c r="H23" s="18">
        <f>F23*G23</f>
        <v>0</v>
      </c>
      <c r="I23" s="29"/>
    </row>
    <row r="24" spans="1:9" x14ac:dyDescent="0.25">
      <c r="A24" s="37" t="s">
        <v>24</v>
      </c>
      <c r="B24" s="16"/>
      <c r="C24" s="16"/>
      <c r="D24" s="18"/>
      <c r="E24" s="16"/>
      <c r="F24" s="16">
        <f t="shared" si="0"/>
        <v>0</v>
      </c>
      <c r="G24" s="16"/>
      <c r="H24" s="18"/>
      <c r="I24" s="29"/>
    </row>
    <row r="25" spans="1:9" x14ac:dyDescent="0.25">
      <c r="A25" s="38" t="s">
        <v>25</v>
      </c>
      <c r="B25" s="16">
        <v>480</v>
      </c>
      <c r="C25" s="16">
        <f>0.2</f>
        <v>0.2</v>
      </c>
      <c r="D25" s="18">
        <f>H25</f>
        <v>96</v>
      </c>
      <c r="E25" s="16" t="s">
        <v>65</v>
      </c>
      <c r="F25" s="16">
        <f t="shared" si="0"/>
        <v>96</v>
      </c>
      <c r="G25" s="16">
        <v>1</v>
      </c>
      <c r="H25" s="18">
        <f>F25*G25</f>
        <v>96</v>
      </c>
      <c r="I25" s="29"/>
    </row>
    <row r="26" spans="1:9" x14ac:dyDescent="0.25">
      <c r="A26" s="38" t="s">
        <v>26</v>
      </c>
      <c r="B26" s="16">
        <v>480</v>
      </c>
      <c r="C26" s="16">
        <v>0.2</v>
      </c>
      <c r="D26" s="18">
        <f>H26</f>
        <v>96</v>
      </c>
      <c r="E26" s="16" t="s">
        <v>65</v>
      </c>
      <c r="F26" s="16">
        <f t="shared" si="0"/>
        <v>96</v>
      </c>
      <c r="G26" s="16">
        <v>1</v>
      </c>
      <c r="H26" s="18">
        <f>F26*G26</f>
        <v>96</v>
      </c>
      <c r="I26" s="29"/>
    </row>
    <row r="27" spans="1:9" x14ac:dyDescent="0.25">
      <c r="A27" s="38" t="s">
        <v>27</v>
      </c>
      <c r="B27" s="16">
        <v>480</v>
      </c>
      <c r="C27" s="16">
        <f>(5+K9)*0.2</f>
        <v>1</v>
      </c>
      <c r="D27" s="18">
        <f>H27</f>
        <v>480</v>
      </c>
      <c r="E27" s="16" t="s">
        <v>123</v>
      </c>
      <c r="F27" s="16">
        <f t="shared" si="0"/>
        <v>480</v>
      </c>
      <c r="G27" s="16">
        <v>1</v>
      </c>
      <c r="H27" s="18">
        <f>F27*G27</f>
        <v>480</v>
      </c>
      <c r="I27" s="29"/>
    </row>
    <row r="28" spans="1:9" x14ac:dyDescent="0.25">
      <c r="A28" s="38" t="s">
        <v>28</v>
      </c>
      <c r="B28" s="16">
        <v>60</v>
      </c>
      <c r="C28" s="16">
        <f>K10</f>
        <v>0</v>
      </c>
      <c r="D28" s="18">
        <f>H28</f>
        <v>0</v>
      </c>
      <c r="E28" s="16" t="s">
        <v>66</v>
      </c>
      <c r="F28" s="16">
        <f t="shared" si="0"/>
        <v>0</v>
      </c>
      <c r="G28" s="16">
        <v>1</v>
      </c>
      <c r="H28" s="18">
        <f>F28*G28</f>
        <v>0</v>
      </c>
      <c r="I28" s="29"/>
    </row>
    <row r="29" spans="1:9" x14ac:dyDescent="0.25">
      <c r="A29" s="37" t="s">
        <v>29</v>
      </c>
      <c r="B29" s="16"/>
      <c r="C29" s="16"/>
      <c r="D29" s="18"/>
      <c r="E29" s="16"/>
      <c r="F29" s="16">
        <f t="shared" si="0"/>
        <v>0</v>
      </c>
      <c r="G29" s="16"/>
      <c r="H29" s="18"/>
      <c r="I29" s="29"/>
    </row>
    <row r="30" spans="1:9" x14ac:dyDescent="0.25">
      <c r="A30" s="38" t="s">
        <v>30</v>
      </c>
      <c r="B30" s="16">
        <v>120</v>
      </c>
      <c r="C30" s="16">
        <f>10*0.2</f>
        <v>2</v>
      </c>
      <c r="D30" s="18">
        <f>H30</f>
        <v>240</v>
      </c>
      <c r="E30" s="16" t="s">
        <v>124</v>
      </c>
      <c r="F30" s="16">
        <f t="shared" si="0"/>
        <v>240</v>
      </c>
      <c r="G30" s="16">
        <v>1</v>
      </c>
      <c r="H30" s="18">
        <f>F30*G30</f>
        <v>240</v>
      </c>
      <c r="I30" s="29"/>
    </row>
    <row r="31" spans="1:9" x14ac:dyDescent="0.25">
      <c r="A31" s="38" t="s">
        <v>31</v>
      </c>
      <c r="B31" s="16">
        <v>240</v>
      </c>
      <c r="C31" s="16">
        <v>1</v>
      </c>
      <c r="D31" s="18">
        <f>H31</f>
        <v>240</v>
      </c>
      <c r="E31" s="16" t="s">
        <v>63</v>
      </c>
      <c r="F31" s="16">
        <f t="shared" si="0"/>
        <v>240</v>
      </c>
      <c r="G31" s="16">
        <v>1</v>
      </c>
      <c r="H31" s="18">
        <f>F31*G31</f>
        <v>240</v>
      </c>
      <c r="I31" s="29"/>
    </row>
    <row r="32" spans="1:9" x14ac:dyDescent="0.25">
      <c r="A32" s="38" t="s">
        <v>32</v>
      </c>
      <c r="B32" s="16">
        <v>36</v>
      </c>
      <c r="C32" s="42">
        <f>K2*0.5*1/3</f>
        <v>0</v>
      </c>
      <c r="D32" s="18">
        <f>H32</f>
        <v>0</v>
      </c>
      <c r="E32" s="16" t="s">
        <v>125</v>
      </c>
      <c r="F32" s="16">
        <f t="shared" si="0"/>
        <v>0</v>
      </c>
      <c r="G32" s="16">
        <v>1</v>
      </c>
      <c r="H32" s="18">
        <f>F32*G32</f>
        <v>0</v>
      </c>
      <c r="I32" s="29"/>
    </row>
    <row r="33" spans="1:9" x14ac:dyDescent="0.25">
      <c r="A33" s="38" t="s">
        <v>164</v>
      </c>
      <c r="B33" s="16">
        <v>180</v>
      </c>
      <c r="C33" s="42">
        <f>0.1*K3</f>
        <v>0</v>
      </c>
      <c r="D33" s="18">
        <f>H33</f>
        <v>0</v>
      </c>
      <c r="E33" s="16" t="s">
        <v>126</v>
      </c>
      <c r="F33" s="16">
        <f t="shared" si="0"/>
        <v>0</v>
      </c>
      <c r="G33" s="16">
        <v>1</v>
      </c>
      <c r="H33" s="18">
        <f>F33*G33</f>
        <v>0</v>
      </c>
      <c r="I33" s="29"/>
    </row>
    <row r="34" spans="1:9" x14ac:dyDescent="0.25">
      <c r="A34" s="38" t="s">
        <v>33</v>
      </c>
      <c r="B34" s="16">
        <v>30</v>
      </c>
      <c r="C34" s="16">
        <f>0.1*K2</f>
        <v>0</v>
      </c>
      <c r="D34" s="18">
        <f>H34</f>
        <v>0</v>
      </c>
      <c r="E34" s="16" t="s">
        <v>67</v>
      </c>
      <c r="F34" s="16">
        <f t="shared" si="0"/>
        <v>0</v>
      </c>
      <c r="G34" s="16">
        <v>1</v>
      </c>
      <c r="H34" s="18">
        <f>F34*G34</f>
        <v>0</v>
      </c>
      <c r="I34" s="29"/>
    </row>
    <row r="35" spans="1:9" x14ac:dyDescent="0.25">
      <c r="A35" s="37" t="s">
        <v>34</v>
      </c>
      <c r="B35" s="16"/>
      <c r="C35" s="16"/>
      <c r="D35" s="18"/>
      <c r="E35" s="16"/>
      <c r="F35" s="16">
        <f t="shared" ref="F35:F50" si="1">B35*C35</f>
        <v>0</v>
      </c>
      <c r="G35" s="16"/>
      <c r="H35" s="18"/>
      <c r="I35" s="29"/>
    </row>
    <row r="36" spans="1:9" x14ac:dyDescent="0.25">
      <c r="A36" s="38" t="s">
        <v>35</v>
      </c>
      <c r="B36" s="16">
        <v>6</v>
      </c>
      <c r="C36" s="16">
        <f>K2*0.1*0.1</f>
        <v>0</v>
      </c>
      <c r="D36" s="18">
        <f>H36</f>
        <v>0</v>
      </c>
      <c r="E36" s="16" t="s">
        <v>68</v>
      </c>
      <c r="F36" s="16">
        <f t="shared" si="1"/>
        <v>0</v>
      </c>
      <c r="G36" s="16">
        <v>1</v>
      </c>
      <c r="H36" s="18">
        <f>F36*G36</f>
        <v>0</v>
      </c>
      <c r="I36" s="29"/>
    </row>
    <row r="37" spans="1:9" x14ac:dyDescent="0.25">
      <c r="A37" s="38" t="s">
        <v>36</v>
      </c>
      <c r="B37" s="16">
        <v>6</v>
      </c>
      <c r="C37" s="16">
        <f>K2*0.15</f>
        <v>0</v>
      </c>
      <c r="D37" s="18">
        <f>H37</f>
        <v>0</v>
      </c>
      <c r="E37" s="16" t="s">
        <v>128</v>
      </c>
      <c r="F37" s="16">
        <f t="shared" si="1"/>
        <v>0</v>
      </c>
      <c r="G37" s="16">
        <v>1</v>
      </c>
      <c r="H37" s="18">
        <f>F37*G37</f>
        <v>0</v>
      </c>
      <c r="I37" s="29"/>
    </row>
    <row r="38" spans="1:9" x14ac:dyDescent="0.25">
      <c r="A38" s="37" t="s">
        <v>37</v>
      </c>
      <c r="B38" s="16"/>
      <c r="C38" s="16"/>
      <c r="D38" s="18"/>
      <c r="E38" s="16"/>
      <c r="F38" s="16">
        <f t="shared" si="1"/>
        <v>0</v>
      </c>
      <c r="G38" s="16"/>
      <c r="H38" s="18"/>
      <c r="I38" s="29"/>
    </row>
    <row r="39" spans="1:9" x14ac:dyDescent="0.25">
      <c r="A39" s="38" t="s">
        <v>38</v>
      </c>
      <c r="B39" s="16">
        <v>240</v>
      </c>
      <c r="C39" s="16">
        <v>1</v>
      </c>
      <c r="D39" s="18">
        <f>H39</f>
        <v>240</v>
      </c>
      <c r="E39" s="16" t="s">
        <v>63</v>
      </c>
      <c r="F39" s="16">
        <f t="shared" si="1"/>
        <v>240</v>
      </c>
      <c r="G39" s="16">
        <v>1</v>
      </c>
      <c r="H39" s="18">
        <f>F39*G39</f>
        <v>240</v>
      </c>
      <c r="I39" s="29"/>
    </row>
    <row r="40" spans="1:9" x14ac:dyDescent="0.25">
      <c r="A40" s="38" t="s">
        <v>39</v>
      </c>
      <c r="B40" s="16">
        <v>60</v>
      </c>
      <c r="C40" s="16">
        <v>12</v>
      </c>
      <c r="D40" s="18">
        <f>H40</f>
        <v>720</v>
      </c>
      <c r="E40" s="16" t="s">
        <v>64</v>
      </c>
      <c r="F40" s="16">
        <f t="shared" si="1"/>
        <v>720</v>
      </c>
      <c r="G40" s="16">
        <v>1</v>
      </c>
      <c r="H40" s="18">
        <f>F40*G40</f>
        <v>720</v>
      </c>
      <c r="I40" s="29"/>
    </row>
    <row r="41" spans="1:9" x14ac:dyDescent="0.25">
      <c r="A41" s="38" t="s">
        <v>40</v>
      </c>
      <c r="B41" s="16">
        <v>15</v>
      </c>
      <c r="C41" s="40">
        <f>K5*0.1*0.1/18.1*3</f>
        <v>0</v>
      </c>
      <c r="D41" s="18">
        <f>H41</f>
        <v>0</v>
      </c>
      <c r="E41" s="16" t="s">
        <v>129</v>
      </c>
      <c r="F41" s="16">
        <f t="shared" si="1"/>
        <v>0</v>
      </c>
      <c r="G41" s="16">
        <v>1</v>
      </c>
      <c r="H41" s="18">
        <f>F41*G41</f>
        <v>0</v>
      </c>
      <c r="I41" s="29"/>
    </row>
    <row r="42" spans="1:9" x14ac:dyDescent="0.25">
      <c r="A42" s="38" t="s">
        <v>41</v>
      </c>
      <c r="B42" s="16">
        <v>960</v>
      </c>
      <c r="C42" s="16">
        <v>2</v>
      </c>
      <c r="D42" s="18">
        <f>H42</f>
        <v>1920</v>
      </c>
      <c r="E42" s="16" t="s">
        <v>69</v>
      </c>
      <c r="F42" s="16">
        <f t="shared" si="1"/>
        <v>1920</v>
      </c>
      <c r="G42" s="16">
        <v>1</v>
      </c>
      <c r="H42" s="18">
        <f>F42*G42</f>
        <v>1920</v>
      </c>
      <c r="I42" s="29"/>
    </row>
    <row r="43" spans="1:9" x14ac:dyDescent="0.25">
      <c r="A43" s="37" t="s">
        <v>42</v>
      </c>
      <c r="B43" s="16"/>
      <c r="C43" s="16"/>
      <c r="D43" s="18"/>
      <c r="E43" s="16"/>
      <c r="F43" s="16">
        <f t="shared" si="1"/>
        <v>0</v>
      </c>
      <c r="G43" s="16"/>
      <c r="H43" s="18"/>
      <c r="I43" s="29"/>
    </row>
    <row r="44" spans="1:9" x14ac:dyDescent="0.25">
      <c r="A44" s="38" t="s">
        <v>43</v>
      </c>
      <c r="B44" s="16">
        <v>240</v>
      </c>
      <c r="C44" s="40">
        <f>K5*0.1*0.1/18.1*3</f>
        <v>0</v>
      </c>
      <c r="D44" s="18">
        <f>H44</f>
        <v>0</v>
      </c>
      <c r="E44" s="16" t="s">
        <v>129</v>
      </c>
      <c r="F44" s="16">
        <f t="shared" si="1"/>
        <v>0</v>
      </c>
      <c r="G44" s="16">
        <v>1</v>
      </c>
      <c r="H44" s="18">
        <f>F44*G44</f>
        <v>0</v>
      </c>
      <c r="I44" s="29"/>
    </row>
    <row r="45" spans="1:9" x14ac:dyDescent="0.25">
      <c r="A45" s="38" t="s">
        <v>44</v>
      </c>
      <c r="B45" s="16">
        <v>60</v>
      </c>
      <c r="C45" s="16">
        <v>12</v>
      </c>
      <c r="D45" s="18">
        <f>H45</f>
        <v>720</v>
      </c>
      <c r="E45" s="16" t="s">
        <v>64</v>
      </c>
      <c r="F45" s="16">
        <f t="shared" si="1"/>
        <v>720</v>
      </c>
      <c r="G45" s="16">
        <v>1</v>
      </c>
      <c r="H45" s="18">
        <f>F45*G45</f>
        <v>720</v>
      </c>
      <c r="I45" s="29"/>
    </row>
    <row r="46" spans="1:9" x14ac:dyDescent="0.25">
      <c r="A46" s="38" t="s">
        <v>45</v>
      </c>
      <c r="B46" s="16">
        <v>120</v>
      </c>
      <c r="C46" s="16">
        <v>1</v>
      </c>
      <c r="D46" s="18">
        <f>H46</f>
        <v>120</v>
      </c>
      <c r="E46" s="16" t="s">
        <v>63</v>
      </c>
      <c r="F46" s="16">
        <f t="shared" si="1"/>
        <v>120</v>
      </c>
      <c r="G46" s="16">
        <v>1</v>
      </c>
      <c r="H46" s="18">
        <f>F46*G46</f>
        <v>120</v>
      </c>
      <c r="I46" s="29"/>
    </row>
    <row r="47" spans="1:9" x14ac:dyDescent="0.25">
      <c r="A47" s="37" t="s">
        <v>46</v>
      </c>
      <c r="B47" s="16"/>
      <c r="C47" s="16"/>
      <c r="D47" s="18"/>
      <c r="E47" s="16"/>
      <c r="F47" s="16">
        <f t="shared" si="1"/>
        <v>0</v>
      </c>
      <c r="G47" s="16"/>
      <c r="H47" s="18"/>
      <c r="I47" s="29"/>
    </row>
    <row r="48" spans="1:9" x14ac:dyDescent="0.25">
      <c r="A48" s="38" t="s">
        <v>47</v>
      </c>
      <c r="B48" s="16">
        <v>60</v>
      </c>
      <c r="C48" s="41">
        <f>K3*0.2</f>
        <v>0</v>
      </c>
      <c r="D48" s="18">
        <f>H48</f>
        <v>0</v>
      </c>
      <c r="E48" s="16" t="s">
        <v>126</v>
      </c>
      <c r="F48" s="16">
        <f t="shared" si="1"/>
        <v>0</v>
      </c>
      <c r="G48" s="16">
        <v>1</v>
      </c>
      <c r="H48" s="18">
        <f>F48*G48</f>
        <v>0</v>
      </c>
      <c r="I48" s="29"/>
    </row>
    <row r="49" spans="1:9" x14ac:dyDescent="0.25">
      <c r="A49" s="38" t="s">
        <v>48</v>
      </c>
      <c r="B49" s="16">
        <v>15</v>
      </c>
      <c r="C49" s="41">
        <f>C48</f>
        <v>0</v>
      </c>
      <c r="D49" s="18">
        <f>H49</f>
        <v>0</v>
      </c>
      <c r="E49" s="16" t="s">
        <v>126</v>
      </c>
      <c r="F49" s="16">
        <f t="shared" si="1"/>
        <v>0</v>
      </c>
      <c r="G49" s="16">
        <v>1</v>
      </c>
      <c r="H49" s="18">
        <f>F49*G49</f>
        <v>0</v>
      </c>
      <c r="I49" s="29"/>
    </row>
    <row r="50" spans="1:9" x14ac:dyDescent="0.25">
      <c r="F50" s="7">
        <f t="shared" si="1"/>
        <v>0</v>
      </c>
      <c r="H50" s="43">
        <f>SUM(H3:H49)</f>
        <v>6954</v>
      </c>
      <c r="I50" s="29"/>
    </row>
    <row r="51" spans="1:9" x14ac:dyDescent="0.25">
      <c r="F51" s="36">
        <f>F50/1600</f>
        <v>0</v>
      </c>
      <c r="G51" s="36"/>
      <c r="H51" s="35"/>
      <c r="I51" s="35"/>
    </row>
    <row r="53" spans="1:9" x14ac:dyDescent="0.25">
      <c r="H53" s="35"/>
      <c r="I53" s="35"/>
    </row>
  </sheetData>
  <sheetProtection sheet="1" objects="1" scenarios="1"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Übersicht</vt:lpstr>
      <vt:lpstr>Technische Aufgaben</vt:lpstr>
      <vt:lpstr>Managementaufgaben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Bierschenk</dc:creator>
  <cp:lastModifiedBy>Franz Bierschenk</cp:lastModifiedBy>
  <dcterms:created xsi:type="dcterms:W3CDTF">2020-02-05T14:15:37Z</dcterms:created>
  <dcterms:modified xsi:type="dcterms:W3CDTF">2020-03-02T16:28:06Z</dcterms:modified>
</cp:coreProperties>
</file>